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iller\AppData\Local\AxiomTemp\2bp4za2k.ugf\"/>
    </mc:Choice>
  </mc:AlternateContent>
  <xr:revisionPtr revIDLastSave="0" documentId="8_{8815714F-1AC0-4796-8310-AD7928BB3DC7}" xr6:coauthVersionLast="45" xr6:coauthVersionMax="45" xr10:uidLastSave="{00000000-0000-0000-0000-000000000000}"/>
  <bookViews>
    <workbookView xWindow="-108" yWindow="-108" windowWidth="23256" windowHeight="12576" tabRatio="565" firstSheet="3" activeTab="5" xr2:uid="{00000000-000D-0000-FFFF-FFFF00000000}"/>
  </bookViews>
  <sheets>
    <sheet name="Control_Sheet" sheetId="20" state="hidden" r:id="rId1"/>
    <sheet name="Variables" sheetId="5" state="hidden" r:id="rId2"/>
    <sheet name="Instructions" sheetId="12" state="hidden" r:id="rId3"/>
    <sheet name="Control" sheetId="9" r:id="rId4"/>
    <sheet name="Summary" sheetId="10" r:id="rId5"/>
    <sheet name="MonthlyFcstAdj" sheetId="11" r:id="rId6"/>
  </sheets>
  <definedNames>
    <definedName name="_xlnm._FilterDatabase" localSheetId="5" hidden="1">MonthlyFcstAdj!$AR$37:$BI$42</definedName>
    <definedName name="_xlnm._FilterDatabase" localSheetId="4" hidden="1">Summary!$C$16:$W$71</definedName>
    <definedName name="_xlnm.Print_Area" localSheetId="3">Control!$D$10:$Q$72</definedName>
    <definedName name="_xlnm.Print_Area" localSheetId="5">MonthlyFcstAdj!$G$34:$X$270</definedName>
    <definedName name="_xlnm.Print_Area" localSheetId="4">Summary!$E$18:$W$85</definedName>
    <definedName name="_xlnm.Print_Titles" localSheetId="5">MonthlyFcstAdj!$31:$37</definedName>
    <definedName name="_xlnm.Print_Titles" localSheetId="4">Summary!$17:$21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1" i="11" l="1"/>
  <c r="W41" i="11"/>
  <c r="C42" i="11"/>
  <c r="C43" i="11" s="1"/>
  <c r="B44" i="11"/>
  <c r="G44" i="11"/>
  <c r="Y44" i="11"/>
  <c r="A47" i="11"/>
  <c r="W47" i="11"/>
  <c r="C48" i="11"/>
  <c r="C49" i="11" s="1"/>
  <c r="B50" i="11"/>
  <c r="G50" i="11"/>
  <c r="Y50" i="11"/>
  <c r="A53" i="11"/>
  <c r="W53" i="11"/>
  <c r="C54" i="11"/>
  <c r="C55" i="11" s="1"/>
  <c r="B56" i="11"/>
  <c r="G56" i="11"/>
  <c r="Y56" i="11"/>
  <c r="A63" i="11"/>
  <c r="W63" i="11"/>
  <c r="W64" i="11"/>
  <c r="C65" i="11"/>
  <c r="C66" i="11" s="1"/>
  <c r="B68" i="11"/>
  <c r="G68" i="11"/>
  <c r="Y68" i="11"/>
  <c r="W71" i="11"/>
  <c r="W72" i="11"/>
  <c r="C73" i="11"/>
  <c r="C74" i="11" s="1"/>
  <c r="B76" i="11"/>
  <c r="G76" i="11"/>
  <c r="Y76" i="11"/>
  <c r="A79" i="11"/>
  <c r="W79" i="11"/>
  <c r="W80" i="11"/>
  <c r="C81" i="11"/>
  <c r="C82" i="11" s="1"/>
  <c r="B84" i="11"/>
  <c r="G84" i="11"/>
  <c r="Y84" i="11"/>
  <c r="A87" i="11"/>
  <c r="W87" i="11"/>
  <c r="W88" i="11"/>
  <c r="C89" i="11"/>
  <c r="B92" i="11"/>
  <c r="G92" i="11"/>
  <c r="Y92" i="11"/>
  <c r="A101" i="11"/>
  <c r="W101" i="11"/>
  <c r="C102" i="11"/>
  <c r="C103" i="11" s="1"/>
  <c r="B104" i="11"/>
  <c r="G104" i="11"/>
  <c r="Y104" i="11"/>
  <c r="W108" i="11"/>
  <c r="W109" i="11"/>
  <c r="W110" i="11"/>
  <c r="W111" i="11"/>
  <c r="K112" i="11"/>
  <c r="K113" i="11" s="1"/>
  <c r="L112" i="11"/>
  <c r="M112" i="11"/>
  <c r="N112" i="11"/>
  <c r="O112" i="11"/>
  <c r="P112" i="11"/>
  <c r="Q112" i="11"/>
  <c r="R112" i="11"/>
  <c r="S112" i="11"/>
  <c r="T112" i="11"/>
  <c r="U112" i="11"/>
  <c r="V112" i="11"/>
  <c r="Y112" i="11"/>
  <c r="L113" i="11"/>
  <c r="M113" i="11"/>
  <c r="N113" i="11"/>
  <c r="O113" i="11"/>
  <c r="P113" i="11"/>
  <c r="Q113" i="11"/>
  <c r="R113" i="11"/>
  <c r="S113" i="11"/>
  <c r="T113" i="11"/>
  <c r="U113" i="11"/>
  <c r="V113" i="11"/>
  <c r="Y113" i="11"/>
  <c r="Y116" i="11" s="1"/>
  <c r="C114" i="11"/>
  <c r="C115" i="11" s="1"/>
  <c r="G116" i="11"/>
  <c r="A121" i="11"/>
  <c r="W121" i="11"/>
  <c r="C122" i="11"/>
  <c r="C123" i="11" s="1"/>
  <c r="B124" i="11"/>
  <c r="G124" i="11"/>
  <c r="Y124" i="11"/>
  <c r="C128" i="11"/>
  <c r="C129" i="11" s="1"/>
  <c r="G130" i="11"/>
  <c r="Y130" i="11"/>
  <c r="Y136" i="11" s="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Y131" i="11"/>
  <c r="A132" i="11"/>
  <c r="W132" i="11"/>
  <c r="C133" i="11"/>
  <c r="C134" i="11" s="1"/>
  <c r="B135" i="11"/>
  <c r="G135" i="11"/>
  <c r="Y135" i="11"/>
  <c r="C139" i="11"/>
  <c r="C140" i="11" s="1"/>
  <c r="G141" i="11"/>
  <c r="Y141" i="11"/>
  <c r="Y147" i="11" s="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Y142" i="11"/>
  <c r="A143" i="11"/>
  <c r="W143" i="11"/>
  <c r="C144" i="11"/>
  <c r="C145" i="11" s="1"/>
  <c r="B146" i="11"/>
  <c r="G146" i="11"/>
  <c r="Y146" i="11"/>
  <c r="A149" i="11"/>
  <c r="W149" i="11"/>
  <c r="C150" i="11"/>
  <c r="C151" i="11" s="1"/>
  <c r="B152" i="11"/>
  <c r="G152" i="11"/>
  <c r="Y152" i="11"/>
  <c r="W155" i="11"/>
  <c r="A156" i="11"/>
  <c r="W156" i="11"/>
  <c r="C157" i="11"/>
  <c r="C158" i="11" s="1"/>
  <c r="B159" i="11"/>
  <c r="G159" i="11"/>
  <c r="Y159" i="11"/>
  <c r="Y160" i="11" s="1"/>
  <c r="A162" i="11"/>
  <c r="W162" i="11"/>
  <c r="C163" i="11"/>
  <c r="C164" i="11" s="1"/>
  <c r="B165" i="11"/>
  <c r="G165" i="11"/>
  <c r="Y165" i="11"/>
  <c r="A167" i="11"/>
  <c r="W167" i="11"/>
  <c r="C168" i="11"/>
  <c r="C169" i="11" s="1"/>
  <c r="B170" i="11"/>
  <c r="G170" i="11"/>
  <c r="Y170" i="11"/>
  <c r="A172" i="11"/>
  <c r="W172" i="11"/>
  <c r="C173" i="11"/>
  <c r="C174" i="11" s="1"/>
  <c r="B175" i="11"/>
  <c r="G175" i="11"/>
  <c r="Y175" i="11"/>
  <c r="A178" i="11"/>
  <c r="W178" i="11"/>
  <c r="C179" i="11"/>
  <c r="C180" i="11" s="1"/>
  <c r="B181" i="11"/>
  <c r="G181" i="11"/>
  <c r="Y181" i="11"/>
  <c r="A184" i="11"/>
  <c r="W184" i="11"/>
  <c r="C185" i="11"/>
  <c r="C186" i="11" s="1"/>
  <c r="B187" i="11"/>
  <c r="G187" i="11"/>
  <c r="Y187" i="11"/>
  <c r="A190" i="11"/>
  <c r="W190" i="11"/>
  <c r="C191" i="11"/>
  <c r="C192" i="11" s="1"/>
  <c r="B193" i="11"/>
  <c r="G193" i="11"/>
  <c r="Y193" i="11"/>
  <c r="A195" i="11"/>
  <c r="W195" i="11"/>
  <c r="C196" i="11"/>
  <c r="C197" i="11" s="1"/>
  <c r="B198" i="11"/>
  <c r="G198" i="11"/>
  <c r="Y198" i="11"/>
  <c r="A200" i="11"/>
  <c r="W200" i="11"/>
  <c r="C201" i="11"/>
  <c r="C202" i="11" s="1"/>
  <c r="B203" i="11"/>
  <c r="G203" i="11"/>
  <c r="Y203" i="11"/>
  <c r="A205" i="11"/>
  <c r="W205" i="11"/>
  <c r="C206" i="11"/>
  <c r="C207" i="11" s="1"/>
  <c r="B208" i="11"/>
  <c r="G208" i="11"/>
  <c r="Y208" i="11"/>
  <c r="A210" i="11"/>
  <c r="W210" i="11"/>
  <c r="C211" i="11"/>
  <c r="C212" i="11" s="1"/>
  <c r="B213" i="11"/>
  <c r="G213" i="11"/>
  <c r="Y213" i="11"/>
  <c r="A215" i="11"/>
  <c r="W215" i="11"/>
  <c r="C216" i="11"/>
  <c r="C217" i="11" s="1"/>
  <c r="B218" i="11"/>
  <c r="G218" i="11"/>
  <c r="Y218" i="11"/>
  <c r="A220" i="11"/>
  <c r="W220" i="11"/>
  <c r="C221" i="11"/>
  <c r="C222" i="11" s="1"/>
  <c r="B223" i="11"/>
  <c r="G223" i="11"/>
  <c r="Y223" i="11"/>
  <c r="A225" i="11"/>
  <c r="W225" i="11"/>
  <c r="C226" i="11"/>
  <c r="C227" i="11" s="1"/>
  <c r="B228" i="11"/>
  <c r="G228" i="11"/>
  <c r="Y228" i="11"/>
  <c r="A238" i="11"/>
  <c r="W238" i="11"/>
  <c r="C239" i="11"/>
  <c r="C240" i="11" s="1"/>
  <c r="B241" i="11"/>
  <c r="G241" i="11"/>
  <c r="Y241" i="11"/>
  <c r="A243" i="11"/>
  <c r="W243" i="11"/>
  <c r="C244" i="11"/>
  <c r="C245" i="11" s="1"/>
  <c r="B246" i="11"/>
  <c r="G246" i="11"/>
  <c r="Y246" i="11"/>
  <c r="A248" i="11"/>
  <c r="W248" i="11"/>
  <c r="C249" i="11"/>
  <c r="C250" i="11" s="1"/>
  <c r="B251" i="11"/>
  <c r="G251" i="11"/>
  <c r="Y251" i="11"/>
  <c r="A253" i="11"/>
  <c r="W253" i="11"/>
  <c r="C254" i="11"/>
  <c r="C255" i="11" s="1"/>
  <c r="B256" i="11"/>
  <c r="G256" i="11"/>
  <c r="Y256" i="11"/>
  <c r="A258" i="11"/>
  <c r="W258" i="11"/>
  <c r="C259" i="11"/>
  <c r="C260" i="11" s="1"/>
  <c r="B261" i="11"/>
  <c r="G261" i="11"/>
  <c r="Y261" i="11"/>
  <c r="A265" i="11"/>
  <c r="W265" i="11"/>
  <c r="C266" i="11"/>
  <c r="C267" i="11" s="1"/>
  <c r="B268" i="11"/>
  <c r="G268" i="11"/>
  <c r="Y268" i="11"/>
  <c r="Y153" i="11" l="1"/>
  <c r="Y59" i="11"/>
  <c r="Y85" i="11" s="1"/>
  <c r="Y263" i="11"/>
  <c r="Y125" i="11"/>
  <c r="Y231" i="11"/>
  <c r="Y95" i="11"/>
  <c r="W113" i="11"/>
  <c r="W112" i="11"/>
  <c r="Y51" i="11" l="1"/>
  <c r="Y69" i="11"/>
  <c r="Y45" i="11"/>
  <c r="Y93" i="11"/>
  <c r="Y98" i="11"/>
  <c r="Y106" i="11" s="1"/>
  <c r="Y57" i="11"/>
  <c r="Y188" i="11"/>
  <c r="Y77" i="11"/>
  <c r="Y176" i="11"/>
  <c r="Y182" i="11"/>
  <c r="Y96" i="11"/>
  <c r="Y99" i="11" l="1"/>
  <c r="Y233" i="11"/>
  <c r="Y270" i="11" s="1"/>
  <c r="Y234" i="11" l="1"/>
  <c r="H13" i="11" l="1"/>
  <c r="H12" i="11"/>
  <c r="AP268" i="11"/>
  <c r="AP266" i="11" s="1"/>
  <c r="AP261" i="11"/>
  <c r="AP256" i="11"/>
  <c r="AP251" i="11"/>
  <c r="AP246" i="11"/>
  <c r="AP241" i="11"/>
  <c r="AP239" i="11" s="1"/>
  <c r="AP228" i="11"/>
  <c r="AP223" i="11"/>
  <c r="AP218" i="11"/>
  <c r="AP213" i="11"/>
  <c r="AP208" i="11"/>
  <c r="AP203" i="11"/>
  <c r="AP198" i="11"/>
  <c r="AP193" i="11"/>
  <c r="AP187" i="11"/>
  <c r="AP181" i="11"/>
  <c r="AP175" i="11"/>
  <c r="AP170" i="11"/>
  <c r="AP165" i="11"/>
  <c r="AP159" i="11"/>
  <c r="AP152" i="11"/>
  <c r="AP146" i="11"/>
  <c r="AP145" i="11" s="1"/>
  <c r="AP141" i="11"/>
  <c r="AP135" i="11"/>
  <c r="AP130" i="11"/>
  <c r="AP128" i="11" s="1"/>
  <c r="AP124" i="11"/>
  <c r="AP116" i="11"/>
  <c r="AP114" i="11" s="1"/>
  <c r="AP104" i="11"/>
  <c r="AP102" i="11" s="1"/>
  <c r="AP92" i="11"/>
  <c r="AP89" i="11" s="1"/>
  <c r="AP84" i="11"/>
  <c r="AP76" i="11"/>
  <c r="AP74" i="11" s="1"/>
  <c r="AP68" i="11"/>
  <c r="AP56" i="11"/>
  <c r="AP50" i="11"/>
  <c r="AP44" i="11"/>
  <c r="AP42" i="11" s="1"/>
  <c r="AP267" i="11" l="1"/>
  <c r="AP259" i="11"/>
  <c r="AP260" i="11"/>
  <c r="AP254" i="11"/>
  <c r="AP255" i="11"/>
  <c r="AP249" i="11"/>
  <c r="AP250" i="11"/>
  <c r="AP244" i="11"/>
  <c r="AP245" i="11"/>
  <c r="AP240" i="11"/>
  <c r="AP226" i="11"/>
  <c r="AP227" i="11"/>
  <c r="AP221" i="11"/>
  <c r="AP222" i="11"/>
  <c r="AP216" i="11"/>
  <c r="AP179" i="11"/>
  <c r="AP163" i="11"/>
  <c r="AP173" i="11"/>
  <c r="AP185" i="11"/>
  <c r="AP217" i="11"/>
  <c r="AP211" i="11"/>
  <c r="AP212" i="11"/>
  <c r="AP206" i="11"/>
  <c r="AP207" i="11"/>
  <c r="AP201" i="11"/>
  <c r="AP202" i="11"/>
  <c r="AP196" i="11"/>
  <c r="AP197" i="11"/>
  <c r="AP191" i="11"/>
  <c r="AP192" i="11"/>
  <c r="AP186" i="11"/>
  <c r="AP180" i="11"/>
  <c r="AP174" i="11"/>
  <c r="AP168" i="11"/>
  <c r="AP169" i="11"/>
  <c r="AP164" i="11"/>
  <c r="AP157" i="11"/>
  <c r="AP158" i="11"/>
  <c r="AP150" i="11"/>
  <c r="AP151" i="11"/>
  <c r="AP144" i="11"/>
  <c r="AP103" i="11"/>
  <c r="AP129" i="11"/>
  <c r="AP139" i="11"/>
  <c r="AP140" i="11"/>
  <c r="AP133" i="11"/>
  <c r="AP134" i="11"/>
  <c r="AP123" i="11"/>
  <c r="AP122" i="11"/>
  <c r="AP115" i="11"/>
  <c r="AP90" i="11"/>
  <c r="AP81" i="11"/>
  <c r="AP82" i="11"/>
  <c r="AP73" i="11"/>
  <c r="AP65" i="11"/>
  <c r="AP66" i="11"/>
  <c r="AP54" i="11"/>
  <c r="AP55" i="11"/>
  <c r="AP43" i="11"/>
  <c r="AP48" i="11"/>
  <c r="AP49" i="11"/>
  <c r="I12" i="9" l="1"/>
  <c r="BJ267" i="11" l="1"/>
  <c r="BJ266" i="11"/>
  <c r="BJ260" i="11"/>
  <c r="BJ259" i="11"/>
  <c r="BJ255" i="11"/>
  <c r="BJ254" i="11"/>
  <c r="BJ250" i="11"/>
  <c r="BJ249" i="11"/>
  <c r="BJ245" i="11"/>
  <c r="BJ244" i="11"/>
  <c r="BJ240" i="11"/>
  <c r="BJ239" i="11"/>
  <c r="BJ227" i="11"/>
  <c r="BJ226" i="11"/>
  <c r="BJ222" i="11"/>
  <c r="BJ221" i="11"/>
  <c r="BJ217" i="11"/>
  <c r="BJ216" i="11"/>
  <c r="BJ212" i="11"/>
  <c r="BJ211" i="11"/>
  <c r="BJ207" i="11"/>
  <c r="BJ206" i="11"/>
  <c r="BJ202" i="11"/>
  <c r="BJ201" i="11"/>
  <c r="BJ197" i="11"/>
  <c r="BJ196" i="11"/>
  <c r="BJ192" i="11"/>
  <c r="BJ191" i="11"/>
  <c r="BJ186" i="11"/>
  <c r="BJ185" i="11"/>
  <c r="BJ180" i="11"/>
  <c r="BJ179" i="11"/>
  <c r="BJ174" i="11"/>
  <c r="BJ173" i="11"/>
  <c r="BJ169" i="11"/>
  <c r="BJ168" i="11"/>
  <c r="BJ164" i="11"/>
  <c r="BJ163" i="11"/>
  <c r="BJ158" i="11"/>
  <c r="BJ157" i="11"/>
  <c r="BJ151" i="11"/>
  <c r="BJ150" i="11"/>
  <c r="BJ145" i="11"/>
  <c r="BJ144" i="11"/>
  <c r="BJ140" i="11"/>
  <c r="BJ139" i="11"/>
  <c r="BJ134" i="11"/>
  <c r="BJ133" i="11"/>
  <c r="BJ129" i="11"/>
  <c r="BJ128" i="11"/>
  <c r="BJ123" i="11"/>
  <c r="BJ122" i="11"/>
  <c r="BJ115" i="11"/>
  <c r="BJ114" i="11"/>
  <c r="BJ103" i="11"/>
  <c r="BJ102" i="11"/>
  <c r="BJ90" i="11"/>
  <c r="BJ89" i="11"/>
  <c r="BJ82" i="11"/>
  <c r="BJ81" i="11"/>
  <c r="BJ74" i="11"/>
  <c r="BJ73" i="11"/>
  <c r="BJ66" i="11"/>
  <c r="BJ65" i="11"/>
  <c r="BJ55" i="11"/>
  <c r="BJ54" i="11"/>
  <c r="BJ49" i="11"/>
  <c r="BJ48" i="11"/>
  <c r="BJ43" i="11"/>
  <c r="BJ42" i="11"/>
  <c r="BJ83" i="11" l="1"/>
  <c r="BJ91" i="11"/>
  <c r="BJ67" i="11"/>
  <c r="BJ75" i="11"/>
  <c r="N146" i="20"/>
  <c r="L146" i="20"/>
  <c r="J146" i="20"/>
  <c r="H146" i="20"/>
  <c r="F146" i="20"/>
  <c r="N78" i="20"/>
  <c r="L78" i="20"/>
  <c r="J78" i="20"/>
  <c r="H78" i="20"/>
  <c r="F78" i="20"/>
  <c r="N41" i="20"/>
  <c r="L41" i="20"/>
  <c r="J41" i="20"/>
  <c r="H41" i="20"/>
  <c r="F41" i="20"/>
  <c r="N11" i="20"/>
  <c r="C140" i="20"/>
  <c r="C72" i="20"/>
  <c r="W25" i="10" l="1"/>
  <c r="W26" i="10"/>
  <c r="W48" i="10"/>
  <c r="W53" i="10"/>
  <c r="W55" i="10"/>
  <c r="W58" i="10"/>
  <c r="W60" i="10"/>
  <c r="W61" i="10"/>
  <c r="W62" i="10"/>
  <c r="W63" i="10"/>
  <c r="W64" i="10"/>
  <c r="W65" i="10"/>
  <c r="W76" i="10"/>
  <c r="W77" i="10"/>
  <c r="W79" i="10"/>
  <c r="W83" i="10"/>
  <c r="W54" i="10"/>
  <c r="W59" i="10"/>
  <c r="W78" i="10"/>
  <c r="W21" i="10"/>
  <c r="W27" i="10"/>
  <c r="W33" i="10"/>
  <c r="W34" i="10"/>
  <c r="W35" i="10"/>
  <c r="W42" i="10"/>
  <c r="W49" i="10"/>
  <c r="W57" i="10"/>
  <c r="I42" i="5"/>
  <c r="W56" i="10" l="1"/>
  <c r="W36" i="10"/>
  <c r="W38" i="10" s="1"/>
  <c r="W52" i="10"/>
  <c r="W80" i="10"/>
  <c r="W81" i="10" s="1"/>
  <c r="W29" i="10"/>
  <c r="W50" i="10"/>
  <c r="W71" i="10"/>
  <c r="W51" i="10"/>
  <c r="W40" i="10" l="1"/>
  <c r="W44" i="10" s="1"/>
  <c r="W67" i="10"/>
  <c r="W69" i="10" l="1"/>
  <c r="W85" i="10" s="1"/>
  <c r="AA112" i="11" l="1"/>
  <c r="Z142" i="11"/>
  <c r="Z131" i="11"/>
  <c r="I43" i="9" a="1"/>
  <c r="I38" i="9" a="1"/>
  <c r="I36" i="9" a="1"/>
  <c r="I37" i="9" a="1"/>
  <c r="I42" i="9" a="1"/>
  <c r="I43" i="9" l="1"/>
  <c r="AV146" i="11" s="1" a="1"/>
  <c r="AV146" i="11" s="1"/>
  <c r="I42" i="9"/>
  <c r="I38" i="9"/>
  <c r="I37" i="9"/>
  <c r="I36" i="9"/>
  <c r="R26" i="11" a="1"/>
  <c r="M26" i="11" a="1"/>
  <c r="O26" i="11" a="1"/>
  <c r="U26" i="11" a="1"/>
  <c r="L26" i="11" a="1"/>
  <c r="V26" i="11" a="1"/>
  <c r="K19" i="11" a="1"/>
  <c r="T26" i="11" a="1"/>
  <c r="N26" i="11" a="1"/>
  <c r="K37" i="11" a="1"/>
  <c r="S26" i="11" a="1"/>
  <c r="P26" i="11" a="1"/>
  <c r="Q26" i="11" a="1"/>
  <c r="K26" i="11" a="1"/>
  <c r="I25" i="9" a="1"/>
  <c r="I49" i="9" a="1"/>
  <c r="I64" i="9" a="1"/>
  <c r="I50" i="9" a="1"/>
  <c r="I45" i="9" a="1"/>
  <c r="I51" i="9" a="1"/>
  <c r="I41" i="9" a="1"/>
  <c r="I56" i="9" a="1"/>
  <c r="I17" i="9" a="1"/>
  <c r="I52" i="9" a="1"/>
  <c r="I63" i="9" a="1"/>
  <c r="I53" i="9" a="1"/>
  <c r="Q37" i="9"/>
  <c r="I47" i="9" a="1"/>
  <c r="I71" i="9" a="1"/>
  <c r="Q36" i="9"/>
  <c r="I65" i="9" a="1"/>
  <c r="I26" i="9" a="1"/>
  <c r="I46" i="9" a="1"/>
  <c r="I58" i="9" a="1"/>
  <c r="I19" i="9" a="1"/>
  <c r="I18" i="9" a="1"/>
  <c r="I44" i="9" a="1"/>
  <c r="I35" i="9" a="1"/>
  <c r="I48" i="9" a="1"/>
  <c r="I54" i="9" a="1"/>
  <c r="I24" i="9" a="1"/>
  <c r="Q38" i="9"/>
  <c r="I32" i="9" a="1"/>
  <c r="I67" i="9" a="1"/>
  <c r="I27" i="9" a="1"/>
  <c r="I55" i="9" a="1"/>
  <c r="I57" i="9" a="1"/>
  <c r="I66" i="9" a="1"/>
  <c r="Q42" i="9"/>
  <c r="G17" i="9" a="1"/>
  <c r="AV144" i="11" l="1"/>
  <c r="AV145" i="11"/>
  <c r="I71" i="9"/>
  <c r="AV268" i="11" s="1" a="1"/>
  <c r="AV268" i="11" s="1"/>
  <c r="I64" i="9"/>
  <c r="AV246" i="11" s="1" a="1"/>
  <c r="AV246" i="11" s="1"/>
  <c r="I65" i="9"/>
  <c r="AV251" i="11" s="1" a="1"/>
  <c r="AV251" i="11" s="1"/>
  <c r="I66" i="9"/>
  <c r="AV256" i="11" s="1" a="1"/>
  <c r="AV256" i="11" s="1"/>
  <c r="I63" i="9"/>
  <c r="AV241" i="11" s="1" a="1"/>
  <c r="AV241" i="11" s="1"/>
  <c r="I67" i="9"/>
  <c r="AV261" i="11" s="1" a="1"/>
  <c r="AV261" i="11" s="1"/>
  <c r="I35" i="9"/>
  <c r="AV116" i="11" s="1" a="1"/>
  <c r="AV116" i="11" s="1"/>
  <c r="I47" i="9"/>
  <c r="I44" i="9"/>
  <c r="I48" i="9"/>
  <c r="AV175" i="11" s="1" a="1"/>
  <c r="AV175" i="11" s="1"/>
  <c r="I52" i="9"/>
  <c r="AV198" i="11" s="1" a="1"/>
  <c r="AV198" i="11" s="1"/>
  <c r="I56" i="9"/>
  <c r="AV218" i="11" s="1" a="1"/>
  <c r="AV218" i="11" s="1"/>
  <c r="I55" i="9"/>
  <c r="AV213" i="11" s="1" a="1"/>
  <c r="AV213" i="11" s="1"/>
  <c r="I49" i="9"/>
  <c r="AV181" i="11" s="1" a="1"/>
  <c r="AV181" i="11" s="1"/>
  <c r="I53" i="9"/>
  <c r="AV203" i="11" s="1" a="1"/>
  <c r="AV203" i="11" s="1"/>
  <c r="I57" i="9"/>
  <c r="AV223" i="11" s="1" a="1"/>
  <c r="AV223" i="11" s="1"/>
  <c r="I45" i="9"/>
  <c r="AV159" i="11" s="1" a="1"/>
  <c r="AV159" i="11" s="1"/>
  <c r="I51" i="9"/>
  <c r="AV193" i="11" s="1" a="1"/>
  <c r="AV193" i="11" s="1"/>
  <c r="I46" i="9"/>
  <c r="AV165" i="11" s="1" a="1"/>
  <c r="AV165" i="11" s="1"/>
  <c r="I50" i="9"/>
  <c r="AV187" i="11" s="1" a="1"/>
  <c r="AV187" i="11" s="1"/>
  <c r="I54" i="9"/>
  <c r="AV208" i="11" s="1" a="1"/>
  <c r="AV208" i="11" s="1"/>
  <c r="I58" i="9"/>
  <c r="I41" i="9"/>
  <c r="AV124" i="11" s="1" a="1"/>
  <c r="AV124" i="11" s="1"/>
  <c r="I32" i="9"/>
  <c r="AV104" i="11" s="1" a="1"/>
  <c r="AV104" i="11" s="1"/>
  <c r="I24" i="9"/>
  <c r="AV68" i="11" s="1" a="1"/>
  <c r="AV68" i="11" s="1"/>
  <c r="I25" i="9"/>
  <c r="AV76" i="11" s="1" a="1"/>
  <c r="AV76" i="11" s="1"/>
  <c r="I26" i="9"/>
  <c r="AV84" i="11" s="1" a="1"/>
  <c r="AV84" i="11" s="1"/>
  <c r="I27" i="9"/>
  <c r="AV92" i="11" s="1" a="1"/>
  <c r="AV92" i="11" s="1"/>
  <c r="I18" i="9"/>
  <c r="AV50" i="11" s="1" a="1"/>
  <c r="AV50" i="11" s="1"/>
  <c r="I19" i="9"/>
  <c r="AV56" i="11" s="1" a="1"/>
  <c r="AV56" i="11" s="1"/>
  <c r="I17" i="9"/>
  <c r="AV44" i="11" s="1" a="1"/>
  <c r="AV44" i="11" s="1"/>
  <c r="G17" i="9"/>
  <c r="Q26" i="11"/>
  <c r="P26" i="11"/>
  <c r="U26" i="11"/>
  <c r="L26" i="11"/>
  <c r="M26" i="11"/>
  <c r="N26" i="11"/>
  <c r="R26" i="11"/>
  <c r="V26" i="11"/>
  <c r="T26" i="11"/>
  <c r="K19" i="11"/>
  <c r="K26" i="11"/>
  <c r="O26" i="11"/>
  <c r="S26" i="11"/>
  <c r="K37" i="11"/>
  <c r="Z108" i="11"/>
  <c r="AA108" i="11" s="1"/>
  <c r="Z111" i="11"/>
  <c r="AA111" i="11" s="1"/>
  <c r="Z156" i="11"/>
  <c r="AA156" i="11" s="1"/>
  <c r="Z110" i="11"/>
  <c r="AA110" i="11" s="1"/>
  <c r="Z155" i="11"/>
  <c r="AA155" i="11" s="1"/>
  <c r="I44" i="5"/>
  <c r="Q43" i="9"/>
  <c r="AU44" i="11" l="1" a="1"/>
  <c r="AU44" i="11" s="1"/>
  <c r="AV249" i="11"/>
  <c r="AV250" i="11"/>
  <c r="AV240" i="11"/>
  <c r="AV239" i="11"/>
  <c r="AV244" i="11"/>
  <c r="AV245" i="11"/>
  <c r="AV259" i="11"/>
  <c r="AV260" i="11"/>
  <c r="AV266" i="11"/>
  <c r="AV267" i="11"/>
  <c r="AV254" i="11"/>
  <c r="AV255" i="11"/>
  <c r="AV141" i="11" a="1"/>
  <c r="AV141" i="11" s="1"/>
  <c r="AV140" i="11" s="1"/>
  <c r="AV228" i="11" a="1"/>
  <c r="AV228" i="11" s="1"/>
  <c r="AV157" i="11"/>
  <c r="AV158" i="11"/>
  <c r="AV221" i="11"/>
  <c r="AV222" i="11"/>
  <c r="AV130" i="11" a="1"/>
  <c r="AV130" i="11" s="1"/>
  <c r="AV128" i="11" s="1"/>
  <c r="AV170" i="11" a="1"/>
  <c r="AV170" i="11" s="1"/>
  <c r="AV202" i="11"/>
  <c r="AV201" i="11"/>
  <c r="AV179" i="11"/>
  <c r="AV180" i="11"/>
  <c r="AV206" i="11"/>
  <c r="AV207" i="11"/>
  <c r="AV212" i="11"/>
  <c r="AV211" i="11"/>
  <c r="AV185" i="11"/>
  <c r="AV186" i="11"/>
  <c r="AV216" i="11"/>
  <c r="AV217" i="11"/>
  <c r="AV163" i="11"/>
  <c r="AV164" i="11"/>
  <c r="AV196" i="11"/>
  <c r="AV197" i="11"/>
  <c r="AV152" i="11" a="1"/>
  <c r="AV152" i="11" s="1"/>
  <c r="AV150" i="11" s="1"/>
  <c r="AV192" i="11"/>
  <c r="AV191" i="11"/>
  <c r="AV173" i="11"/>
  <c r="AV174" i="11"/>
  <c r="AV103" i="11"/>
  <c r="AV102" i="11"/>
  <c r="AV114" i="11"/>
  <c r="AV115" i="11"/>
  <c r="AV122" i="11"/>
  <c r="AV123" i="11"/>
  <c r="AV135" i="11" a="1"/>
  <c r="AV135" i="11" s="1"/>
  <c r="AV81" i="11"/>
  <c r="AV82" i="11"/>
  <c r="AV89" i="11"/>
  <c r="AV90" i="11"/>
  <c r="AV74" i="11"/>
  <c r="AV73" i="11"/>
  <c r="AV66" i="11"/>
  <c r="AV65" i="11"/>
  <c r="AV55" i="11"/>
  <c r="AV54" i="11"/>
  <c r="AV48" i="11"/>
  <c r="AV49" i="11"/>
  <c r="G42" i="9"/>
  <c r="G43" i="9"/>
  <c r="AU146" i="11" s="1" a="1"/>
  <c r="AU146" i="11" s="1"/>
  <c r="AT146" i="11" s="1"/>
  <c r="G38" i="9"/>
  <c r="G37" i="9"/>
  <c r="G36" i="9"/>
  <c r="G66" i="9"/>
  <c r="AU256" i="11" s="1" a="1"/>
  <c r="AU256" i="11" s="1"/>
  <c r="AT256" i="11" s="1"/>
  <c r="G55" i="9"/>
  <c r="AU213" i="11" s="1" a="1"/>
  <c r="AU213" i="11" s="1"/>
  <c r="AT213" i="11" s="1"/>
  <c r="G47" i="9"/>
  <c r="AU170" i="11" s="1" a="1"/>
  <c r="AU170" i="11" s="1"/>
  <c r="AT170" i="11" s="1"/>
  <c r="G25" i="9"/>
  <c r="AU76" i="11" s="1" a="1"/>
  <c r="AU76" i="11" s="1"/>
  <c r="AT76" i="11" s="1"/>
  <c r="G65" i="9"/>
  <c r="AU251" i="11" s="1" a="1"/>
  <c r="AU251" i="11" s="1"/>
  <c r="AT251" i="11" s="1"/>
  <c r="G54" i="9"/>
  <c r="AU208" i="11" s="1" a="1"/>
  <c r="AU208" i="11" s="1"/>
  <c r="AT208" i="11" s="1"/>
  <c r="G46" i="9"/>
  <c r="AU165" i="11" s="1" a="1"/>
  <c r="AU165" i="11" s="1"/>
  <c r="AT165" i="11" s="1"/>
  <c r="G24" i="9"/>
  <c r="AU68" i="11" s="1" a="1"/>
  <c r="AU68" i="11" s="1"/>
  <c r="G64" i="9"/>
  <c r="AU246" i="11" s="1" a="1"/>
  <c r="AU246" i="11" s="1"/>
  <c r="AT246" i="11" s="1"/>
  <c r="G53" i="9"/>
  <c r="AU203" i="11" s="1" a="1"/>
  <c r="AU203" i="11" s="1"/>
  <c r="AT203" i="11" s="1"/>
  <c r="G45" i="9"/>
  <c r="AU159" i="11" s="1" a="1"/>
  <c r="AU159" i="11" s="1"/>
  <c r="AT159" i="11" s="1"/>
  <c r="G19" i="9"/>
  <c r="AU56" i="11" s="1" a="1"/>
  <c r="AU56" i="11" s="1"/>
  <c r="AT56" i="11" s="1"/>
  <c r="G56" i="9"/>
  <c r="AU218" i="11" s="1" a="1"/>
  <c r="AU218" i="11" s="1"/>
  <c r="AT218" i="11" s="1"/>
  <c r="G48" i="9"/>
  <c r="AU175" i="11" s="1" a="1"/>
  <c r="AU175" i="11" s="1"/>
  <c r="AT175" i="11" s="1"/>
  <c r="G63" i="9"/>
  <c r="AU241" i="11" s="1" a="1"/>
  <c r="AU241" i="11" s="1"/>
  <c r="AT241" i="11" s="1"/>
  <c r="G52" i="9"/>
  <c r="AU198" i="11" s="1" a="1"/>
  <c r="AU198" i="11" s="1"/>
  <c r="AT198" i="11" s="1"/>
  <c r="G44" i="9"/>
  <c r="G18" i="9"/>
  <c r="AU50" i="11" s="1" a="1"/>
  <c r="AU50" i="11" s="1"/>
  <c r="AT50" i="11" s="1"/>
  <c r="G35" i="9"/>
  <c r="AU116" i="11" s="1" a="1"/>
  <c r="AU116" i="11" s="1"/>
  <c r="AT116" i="11" s="1"/>
  <c r="G51" i="9"/>
  <c r="AU193" i="11" s="1" a="1"/>
  <c r="AU193" i="11" s="1"/>
  <c r="AT193" i="11" s="1"/>
  <c r="G41" i="9"/>
  <c r="AU124" i="11" s="1" a="1"/>
  <c r="AU124" i="11" s="1"/>
  <c r="AT124" i="11" s="1"/>
  <c r="G58" i="9"/>
  <c r="AU228" i="11" s="1" a="1"/>
  <c r="AU228" i="11" s="1"/>
  <c r="G50" i="9"/>
  <c r="AU187" i="11" s="1" a="1"/>
  <c r="AU187" i="11" s="1"/>
  <c r="AT187" i="11" s="1"/>
  <c r="G32" i="9"/>
  <c r="AU104" i="11" s="1" a="1"/>
  <c r="AU104" i="11" s="1"/>
  <c r="AT104" i="11" s="1"/>
  <c r="G71" i="9"/>
  <c r="AU268" i="11" s="1" a="1"/>
  <c r="AU268" i="11" s="1"/>
  <c r="AT268" i="11" s="1"/>
  <c r="G57" i="9"/>
  <c r="AU223" i="11" s="1" a="1"/>
  <c r="AU223" i="11" s="1"/>
  <c r="AT223" i="11" s="1"/>
  <c r="G49" i="9"/>
  <c r="AU181" i="11" s="1" a="1"/>
  <c r="AU181" i="11" s="1"/>
  <c r="AT181" i="11" s="1"/>
  <c r="G27" i="9"/>
  <c r="AU92" i="11" s="1" a="1"/>
  <c r="AU92" i="11" s="1"/>
  <c r="AT92" i="11" s="1"/>
  <c r="G67" i="9"/>
  <c r="AU261" i="11" s="1" a="1"/>
  <c r="AU261" i="11" s="1"/>
  <c r="AT261" i="11" s="1"/>
  <c r="G26" i="9"/>
  <c r="AU84" i="11" s="1" a="1"/>
  <c r="AU84" i="11" s="1"/>
  <c r="AT84" i="11" s="1"/>
  <c r="Z113" i="11"/>
  <c r="AA113" i="11" s="1"/>
  <c r="Z109" i="11"/>
  <c r="AA109" i="11" s="1"/>
  <c r="O12" i="9"/>
  <c r="O36" i="9"/>
  <c r="O38" i="9"/>
  <c r="O37" i="9"/>
  <c r="AT228" i="11" l="1"/>
  <c r="AV139" i="11"/>
  <c r="AU249" i="11"/>
  <c r="AR249" i="11" s="1"/>
  <c r="AU250" i="11"/>
  <c r="AS250" i="11" s="1"/>
  <c r="AV226" i="11"/>
  <c r="AV227" i="11"/>
  <c r="AU266" i="11"/>
  <c r="AR266" i="11" s="1"/>
  <c r="AU267" i="11"/>
  <c r="AS267" i="11" s="1"/>
  <c r="AU244" i="11"/>
  <c r="AR244" i="11" s="1"/>
  <c r="AU245" i="11"/>
  <c r="AS245" i="11" s="1"/>
  <c r="AU255" i="11"/>
  <c r="AS255" i="11" s="1"/>
  <c r="AU254" i="11"/>
  <c r="AR254" i="11" s="1"/>
  <c r="AU239" i="11"/>
  <c r="AR239" i="11" s="1"/>
  <c r="AU240" i="11"/>
  <c r="AS240" i="11" s="1"/>
  <c r="AU259" i="11"/>
  <c r="AR259" i="11" s="1"/>
  <c r="AU260" i="11"/>
  <c r="AS260" i="11" s="1"/>
  <c r="AU226" i="11"/>
  <c r="AU227" i="11"/>
  <c r="AV151" i="11"/>
  <c r="AV129" i="11"/>
  <c r="AU152" i="11" a="1"/>
  <c r="AU152" i="11" s="1"/>
  <c r="AV168" i="11"/>
  <c r="AV169" i="11"/>
  <c r="AU222" i="11"/>
  <c r="AS222" i="11" s="1"/>
  <c r="AU221" i="11"/>
  <c r="AR221" i="11" s="1"/>
  <c r="AU201" i="11"/>
  <c r="AR201" i="11" s="1"/>
  <c r="AU202" i="11"/>
  <c r="AS202" i="11" s="1"/>
  <c r="AU211" i="11"/>
  <c r="AR211" i="11" s="1"/>
  <c r="AU212" i="11"/>
  <c r="AS212" i="11" s="1"/>
  <c r="AU196" i="11"/>
  <c r="AR196" i="11" s="1"/>
  <c r="AU197" i="11"/>
  <c r="AS197" i="11" s="1"/>
  <c r="AU186" i="11"/>
  <c r="AS186" i="11" s="1"/>
  <c r="AU185" i="11"/>
  <c r="AR185" i="11" s="1"/>
  <c r="AU164" i="11"/>
  <c r="AS164" i="11" s="1"/>
  <c r="AU163" i="11"/>
  <c r="AR163" i="11" s="1"/>
  <c r="AU216" i="11"/>
  <c r="AR216" i="11" s="1"/>
  <c r="AU217" i="11"/>
  <c r="AS217" i="11" s="1"/>
  <c r="AU174" i="11"/>
  <c r="AS174" i="11" s="1"/>
  <c r="AU173" i="11"/>
  <c r="AR173" i="11" s="1"/>
  <c r="AU207" i="11"/>
  <c r="AS207" i="11" s="1"/>
  <c r="AU206" i="11"/>
  <c r="AR206" i="11" s="1"/>
  <c r="AU144" i="11"/>
  <c r="AR144" i="11" s="1"/>
  <c r="AU145" i="11"/>
  <c r="AS145" i="11" s="1"/>
  <c r="AU191" i="11"/>
  <c r="AR191" i="11" s="1"/>
  <c r="AU192" i="11"/>
  <c r="AS192" i="11" s="1"/>
  <c r="AU179" i="11"/>
  <c r="AR179" i="11" s="1"/>
  <c r="AU180" i="11"/>
  <c r="AS180" i="11" s="1"/>
  <c r="AU157" i="11"/>
  <c r="AR157" i="11" s="1"/>
  <c r="AU158" i="11"/>
  <c r="AS158" i="11" s="1"/>
  <c r="AU168" i="11"/>
  <c r="AU169" i="11"/>
  <c r="AU141" i="11" a="1"/>
  <c r="AU141" i="11" s="1"/>
  <c r="AU130" i="11" a="1"/>
  <c r="AU130" i="11" s="1"/>
  <c r="AT130" i="11" s="1"/>
  <c r="AV133" i="11"/>
  <c r="AV134" i="11"/>
  <c r="AU122" i="11"/>
  <c r="AR122" i="11" s="1"/>
  <c r="AU123" i="11"/>
  <c r="AS123" i="11" s="1"/>
  <c r="AU102" i="11"/>
  <c r="AR102" i="11" s="1"/>
  <c r="AU103" i="11"/>
  <c r="AS103" i="11" s="1"/>
  <c r="AU135" i="11" a="1"/>
  <c r="AU135" i="11" s="1"/>
  <c r="AT135" i="11" s="1"/>
  <c r="AU114" i="11"/>
  <c r="AR114" i="11" s="1"/>
  <c r="AU115" i="11"/>
  <c r="AS115" i="11" s="1"/>
  <c r="AU65" i="11"/>
  <c r="AR65" i="11" s="1"/>
  <c r="AU66" i="11"/>
  <c r="AS66" i="11" s="1"/>
  <c r="AU81" i="11"/>
  <c r="AR81" i="11" s="1"/>
  <c r="AU82" i="11"/>
  <c r="AS82" i="11" s="1"/>
  <c r="AU89" i="11"/>
  <c r="AR89" i="11" s="1"/>
  <c r="AU90" i="11"/>
  <c r="AS90" i="11" s="1"/>
  <c r="AU73" i="11"/>
  <c r="AR73" i="11" s="1"/>
  <c r="AU74" i="11"/>
  <c r="AS74" i="11" s="1"/>
  <c r="AU54" i="11"/>
  <c r="AR54" i="11" s="1"/>
  <c r="AU55" i="11"/>
  <c r="AS55" i="11" s="1"/>
  <c r="AU49" i="11"/>
  <c r="AS49" i="11" s="1"/>
  <c r="AU48" i="11"/>
  <c r="AR48" i="11" s="1"/>
  <c r="M36" i="9"/>
  <c r="M37" i="9"/>
  <c r="M38" i="9"/>
  <c r="G37" i="11"/>
  <c r="O43" i="9"/>
  <c r="O42" i="9"/>
  <c r="M43" i="9" l="1"/>
  <c r="AR226" i="11"/>
  <c r="AU150" i="11"/>
  <c r="AR150" i="11" s="1"/>
  <c r="AT152" i="11"/>
  <c r="AU139" i="11"/>
  <c r="AR139" i="11" s="1"/>
  <c r="AT141" i="11"/>
  <c r="AS169" i="11"/>
  <c r="AR168" i="11"/>
  <c r="AS227" i="11"/>
  <c r="AQ245" i="11"/>
  <c r="AQ266" i="11"/>
  <c r="AQ239" i="11"/>
  <c r="AQ250" i="11"/>
  <c r="AQ227" i="11"/>
  <c r="AQ226" i="11"/>
  <c r="AQ254" i="11"/>
  <c r="AQ267" i="11"/>
  <c r="AQ260" i="11"/>
  <c r="AQ255" i="11"/>
  <c r="AQ259" i="11"/>
  <c r="AQ244" i="11"/>
  <c r="AQ249" i="11"/>
  <c r="AU151" i="11"/>
  <c r="AQ240" i="11"/>
  <c r="AU128" i="11"/>
  <c r="AR128" i="11" s="1"/>
  <c r="AQ192" i="11"/>
  <c r="AQ173" i="11"/>
  <c r="AQ164" i="11"/>
  <c r="AQ211" i="11"/>
  <c r="AQ158" i="11"/>
  <c r="AQ191" i="11"/>
  <c r="AQ185" i="11"/>
  <c r="AQ157" i="11"/>
  <c r="AQ186" i="11"/>
  <c r="AQ201" i="11"/>
  <c r="AQ174" i="11"/>
  <c r="AQ180" i="11"/>
  <c r="AQ144" i="11"/>
  <c r="AQ217" i="11"/>
  <c r="AQ197" i="11"/>
  <c r="AQ202" i="11"/>
  <c r="AQ206" i="11"/>
  <c r="AQ216" i="11"/>
  <c r="AQ196" i="11"/>
  <c r="AQ221" i="11"/>
  <c r="AQ145" i="11"/>
  <c r="AQ169" i="11"/>
  <c r="AQ179" i="11"/>
  <c r="AQ168" i="11"/>
  <c r="AQ207" i="11"/>
  <c r="AQ163" i="11"/>
  <c r="AQ212" i="11"/>
  <c r="AQ222" i="11"/>
  <c r="AU129" i="11"/>
  <c r="AU140" i="11"/>
  <c r="AS140" i="11" s="1"/>
  <c r="AQ102" i="11"/>
  <c r="AQ114" i="11"/>
  <c r="AQ115" i="11"/>
  <c r="AU133" i="11"/>
  <c r="AR133" i="11" s="1"/>
  <c r="AU134" i="11"/>
  <c r="AS134" i="11" s="1"/>
  <c r="AQ123" i="11"/>
  <c r="AQ103" i="11"/>
  <c r="AQ122" i="11"/>
  <c r="AQ48" i="11"/>
  <c r="AQ90" i="11"/>
  <c r="AQ49" i="11"/>
  <c r="AQ89" i="11"/>
  <c r="AQ54" i="11"/>
  <c r="AQ82" i="11"/>
  <c r="AQ55" i="11"/>
  <c r="AQ74" i="11"/>
  <c r="AQ81" i="11"/>
  <c r="AQ73" i="11"/>
  <c r="AQ66" i="11"/>
  <c r="AQ65" i="11"/>
  <c r="M42" i="9"/>
  <c r="AQ139" i="11" l="1"/>
  <c r="AQ150" i="11"/>
  <c r="AQ151" i="11"/>
  <c r="AS151" i="11"/>
  <c r="AQ129" i="11"/>
  <c r="AS129" i="11"/>
  <c r="AQ128" i="11"/>
  <c r="AQ140" i="11"/>
  <c r="AQ133" i="11"/>
  <c r="AQ134" i="11"/>
  <c r="Y4" i="11"/>
  <c r="Z117" i="11" l="1"/>
  <c r="AU43" i="11" l="1"/>
  <c r="AU42" i="11"/>
  <c r="AV43" i="11"/>
  <c r="AV42" i="11"/>
  <c r="AT44" i="11"/>
  <c r="AT68" i="11"/>
  <c r="AQ42" i="11" l="1"/>
  <c r="AQ43" i="11"/>
  <c r="AR42" i="11"/>
  <c r="AS43" i="11"/>
  <c r="K29" i="11" l="1"/>
  <c r="I21" i="5"/>
  <c r="N149" i="20" l="1"/>
  <c r="N81" i="20"/>
  <c r="K9" i="11" l="1"/>
  <c r="U16" i="11" l="1"/>
  <c r="T16" i="11" s="1"/>
  <c r="S16" i="11" s="1"/>
  <c r="R16" i="11" s="1"/>
  <c r="Q16" i="11" s="1"/>
  <c r="P16" i="11" s="1"/>
  <c r="O16" i="11" s="1"/>
  <c r="N16" i="11" s="1"/>
  <c r="M16" i="11" s="1"/>
  <c r="L16" i="11" s="1"/>
  <c r="K16" i="11" s="1"/>
  <c r="G35" i="11" l="1"/>
  <c r="L17" i="11"/>
  <c r="L37" i="11" a="1"/>
  <c r="Q26" i="9"/>
  <c r="Q55" i="9"/>
  <c r="Q32" i="9"/>
  <c r="Q67" i="9"/>
  <c r="Q50" i="9"/>
  <c r="Q25" i="9"/>
  <c r="Q52" i="9"/>
  <c r="Q47" i="9"/>
  <c r="Q54" i="9"/>
  <c r="Q71" i="9"/>
  <c r="Q17" i="9"/>
  <c r="Q57" i="9"/>
  <c r="Q58" i="9"/>
  <c r="Q41" i="9"/>
  <c r="Q27" i="9"/>
  <c r="Q56" i="9"/>
  <c r="Q44" i="9"/>
  <c r="Q64" i="9"/>
  <c r="Q19" i="9"/>
  <c r="Q66" i="9"/>
  <c r="Q65" i="9"/>
  <c r="Q24" i="9"/>
  <c r="Q53" i="9"/>
  <c r="Q45" i="9"/>
  <c r="Q18" i="9"/>
  <c r="Q63" i="9"/>
  <c r="Q46" i="9"/>
  <c r="Q51" i="9"/>
  <c r="Q35" i="9"/>
  <c r="Q49" i="9"/>
  <c r="Q48" i="9"/>
  <c r="O57" i="9"/>
  <c r="O55" i="9"/>
  <c r="O32" i="9"/>
  <c r="O17" i="9"/>
  <c r="O63" i="9"/>
  <c r="O24" i="9"/>
  <c r="O18" i="9"/>
  <c r="O44" i="9"/>
  <c r="O71" i="9"/>
  <c r="O35" i="9"/>
  <c r="O54" i="9"/>
  <c r="O26" i="9"/>
  <c r="O51" i="9"/>
  <c r="O27" i="9"/>
  <c r="O45" i="9"/>
  <c r="O49" i="9"/>
  <c r="O46" i="9"/>
  <c r="O64" i="9"/>
  <c r="O56" i="9"/>
  <c r="O66" i="9"/>
  <c r="O67" i="9"/>
  <c r="O48" i="9"/>
  <c r="O19" i="9"/>
  <c r="O65" i="9"/>
  <c r="O25" i="9"/>
  <c r="O50" i="9"/>
  <c r="O47" i="9"/>
  <c r="O58" i="9"/>
  <c r="O53" i="9"/>
  <c r="O52" i="9"/>
  <c r="O41" i="9"/>
  <c r="L37" i="11" l="1"/>
  <c r="M17" i="11"/>
  <c r="M71" i="9"/>
  <c r="M64" i="9"/>
  <c r="M65" i="9"/>
  <c r="M63" i="9"/>
  <c r="M67" i="9"/>
  <c r="M66" i="9"/>
  <c r="M35" i="9"/>
  <c r="M46" i="9"/>
  <c r="M50" i="9"/>
  <c r="M58" i="9"/>
  <c r="M44" i="9"/>
  <c r="M48" i="9"/>
  <c r="M52" i="9"/>
  <c r="M56" i="9"/>
  <c r="M41" i="9"/>
  <c r="M47" i="9"/>
  <c r="M51" i="9"/>
  <c r="M55" i="9"/>
  <c r="M54" i="9"/>
  <c r="M45" i="9"/>
  <c r="M49" i="9"/>
  <c r="M53" i="9"/>
  <c r="M57" i="9"/>
  <c r="M32" i="9"/>
  <c r="M25" i="9"/>
  <c r="M24" i="9"/>
  <c r="M26" i="9"/>
  <c r="M27" i="9"/>
  <c r="M18" i="9"/>
  <c r="M19" i="9"/>
  <c r="M17" i="9"/>
  <c r="AD26" i="11"/>
  <c r="J12" i="10"/>
  <c r="AH26" i="11"/>
  <c r="N12" i="10"/>
  <c r="AC19" i="11"/>
  <c r="I5" i="10"/>
  <c r="AL26" i="11"/>
  <c r="R12" i="10"/>
  <c r="L12" i="10"/>
  <c r="AF26" i="11"/>
  <c r="P12" i="10"/>
  <c r="AJ26" i="11"/>
  <c r="AN26" i="11"/>
  <c r="T12" i="10"/>
  <c r="AC26" i="11"/>
  <c r="W26" i="11"/>
  <c r="Y26" i="11" s="1"/>
  <c r="W12" i="10" s="1"/>
  <c r="I12" i="10"/>
  <c r="AG26" i="11"/>
  <c r="M12" i="10"/>
  <c r="AK26" i="11"/>
  <c r="Q12" i="10"/>
  <c r="AC37" i="11"/>
  <c r="I21" i="10"/>
  <c r="AE26" i="11"/>
  <c r="K12" i="10"/>
  <c r="AI26" i="11"/>
  <c r="O12" i="10"/>
  <c r="AM26" i="11"/>
  <c r="S12" i="10"/>
  <c r="L19" i="11" a="1"/>
  <c r="M37" i="11" a="1"/>
  <c r="L19" i="11" l="1"/>
  <c r="M37" i="11"/>
  <c r="AE37" i="11" s="1"/>
  <c r="N17" i="11"/>
  <c r="J21" i="10"/>
  <c r="AD37" i="11"/>
  <c r="U12" i="10"/>
  <c r="M19" i="11" a="1"/>
  <c r="N19" i="11" a="1"/>
  <c r="I17" i="5"/>
  <c r="I18" i="5"/>
  <c r="M19" i="11" l="1"/>
  <c r="J5" i="10"/>
  <c r="AD19" i="11"/>
  <c r="K21" i="10"/>
  <c r="N19" i="11"/>
  <c r="W36" i="11"/>
  <c r="Y36" i="11" s="1"/>
  <c r="W20" i="10" s="1"/>
  <c r="O17" i="11"/>
  <c r="H20" i="11"/>
  <c r="R9" i="11" s="1"/>
  <c r="I28" i="5"/>
  <c r="H15" i="11" s="1"/>
  <c r="E19" i="10"/>
  <c r="I29" i="5"/>
  <c r="H16" i="11" s="1"/>
  <c r="I27" i="5"/>
  <c r="H14" i="11" s="1"/>
  <c r="I6" i="5"/>
  <c r="O37" i="11" a="1"/>
  <c r="N37" i="11" a="1"/>
  <c r="I19" i="5"/>
  <c r="I20" i="5"/>
  <c r="AT32" i="11" l="1"/>
  <c r="AS31" i="11"/>
  <c r="V3" i="11"/>
  <c r="S3" i="11"/>
  <c r="N3" i="11"/>
  <c r="K3" i="11"/>
  <c r="U3" i="11"/>
  <c r="R3" i="11"/>
  <c r="M3" i="11"/>
  <c r="Q3" i="11"/>
  <c r="T3" i="11"/>
  <c r="P3" i="11"/>
  <c r="L3" i="11"/>
  <c r="O3" i="11"/>
  <c r="K5" i="10"/>
  <c r="AE19" i="11"/>
  <c r="L5" i="10"/>
  <c r="N37" i="11"/>
  <c r="L21" i="10" s="1"/>
  <c r="AF19" i="11"/>
  <c r="O37" i="11"/>
  <c r="AG37" i="11" s="1"/>
  <c r="AR30" i="11"/>
  <c r="P17" i="11"/>
  <c r="Y5" i="11"/>
  <c r="Y3" i="11"/>
  <c r="W4" i="10" s="1"/>
  <c r="W16" i="10" s="1"/>
  <c r="I20" i="11"/>
  <c r="N9" i="11"/>
  <c r="S9" i="11"/>
  <c r="U9" i="11"/>
  <c r="M9" i="11"/>
  <c r="P9" i="11"/>
  <c r="L9" i="11"/>
  <c r="O9" i="11"/>
  <c r="Q9" i="11"/>
  <c r="T9" i="11"/>
  <c r="V9" i="11"/>
  <c r="R28" i="11"/>
  <c r="K28" i="11"/>
  <c r="T28" i="11"/>
  <c r="N28" i="11"/>
  <c r="U28" i="11"/>
  <c r="P28" i="11"/>
  <c r="V28" i="11"/>
  <c r="S28" i="11"/>
  <c r="Q28" i="11"/>
  <c r="L28" i="11"/>
  <c r="O28" i="11"/>
  <c r="M28" i="11"/>
  <c r="I22" i="5"/>
  <c r="E20" i="10" s="1"/>
  <c r="G36" i="11" s="1"/>
  <c r="O19" i="11" a="1"/>
  <c r="P19" i="11" a="1"/>
  <c r="O19" i="11" l="1"/>
  <c r="AF37" i="11"/>
  <c r="M21" i="10"/>
  <c r="P19" i="11"/>
  <c r="Q17" i="11"/>
  <c r="M20" i="11"/>
  <c r="M36" i="11"/>
  <c r="K20" i="10" s="1"/>
  <c r="S20" i="11"/>
  <c r="S36" i="11"/>
  <c r="Q20" i="10" s="1"/>
  <c r="N36" i="11"/>
  <c r="L20" i="10" s="1"/>
  <c r="N20" i="11"/>
  <c r="O20" i="11"/>
  <c r="O36" i="11"/>
  <c r="M20" i="10" s="1"/>
  <c r="V36" i="11"/>
  <c r="T20" i="10" s="1"/>
  <c r="V20" i="11"/>
  <c r="T20" i="11"/>
  <c r="T36" i="11"/>
  <c r="R20" i="10" s="1"/>
  <c r="R36" i="11"/>
  <c r="P20" i="10" s="1"/>
  <c r="R20" i="11"/>
  <c r="Q36" i="11"/>
  <c r="O20" i="10" s="1"/>
  <c r="Q20" i="11"/>
  <c r="U36" i="11"/>
  <c r="S20" i="10" s="1"/>
  <c r="U20" i="11"/>
  <c r="L36" i="11"/>
  <c r="J20" i="10" s="1"/>
  <c r="L20" i="11"/>
  <c r="P20" i="11"/>
  <c r="P36" i="11"/>
  <c r="N20" i="10" s="1"/>
  <c r="K36" i="11"/>
  <c r="I20" i="10" s="1"/>
  <c r="K20" i="11"/>
  <c r="P37" i="11" a="1"/>
  <c r="Q19" i="11" a="1"/>
  <c r="Q37" i="11" a="1"/>
  <c r="R76" i="11" l="1"/>
  <c r="R116" i="11"/>
  <c r="R135" i="11"/>
  <c r="R50" i="11"/>
  <c r="R68" i="11"/>
  <c r="R92" i="11"/>
  <c r="R124" i="11"/>
  <c r="R84" i="11"/>
  <c r="R130" i="11"/>
  <c r="R136" i="11" s="1"/>
  <c r="R44" i="11"/>
  <c r="R56" i="11"/>
  <c r="R170" i="11"/>
  <c r="R198" i="11"/>
  <c r="R218" i="11"/>
  <c r="R165" i="11"/>
  <c r="R181" i="11"/>
  <c r="R193" i="11"/>
  <c r="R213" i="11"/>
  <c r="R146" i="11"/>
  <c r="R104" i="11"/>
  <c r="R208" i="11"/>
  <c r="R152" i="11"/>
  <c r="R159" i="11"/>
  <c r="R160" i="11" s="1"/>
  <c r="R241" i="11"/>
  <c r="R261" i="11"/>
  <c r="R141" i="11"/>
  <c r="R147" i="11" s="1"/>
  <c r="R187" i="11"/>
  <c r="R256" i="11"/>
  <c r="R175" i="11"/>
  <c r="R203" i="11"/>
  <c r="R228" i="11"/>
  <c r="R246" i="11"/>
  <c r="R251" i="11"/>
  <c r="R268" i="11"/>
  <c r="R223" i="11"/>
  <c r="N124" i="11"/>
  <c r="N84" i="11"/>
  <c r="N130" i="11"/>
  <c r="N136" i="11" s="1"/>
  <c r="N44" i="11"/>
  <c r="N56" i="11"/>
  <c r="L27" i="10" s="1"/>
  <c r="N104" i="11"/>
  <c r="N76" i="11"/>
  <c r="N116" i="11"/>
  <c r="N135" i="11"/>
  <c r="L49" i="10" s="1"/>
  <c r="N146" i="11"/>
  <c r="N208" i="11"/>
  <c r="N228" i="11"/>
  <c r="L65" i="10" s="1"/>
  <c r="N92" i="11"/>
  <c r="N141" i="11"/>
  <c r="N147" i="11" s="1"/>
  <c r="N159" i="11"/>
  <c r="N160" i="11" s="1"/>
  <c r="N175" i="11"/>
  <c r="L55" i="10" s="1"/>
  <c r="N187" i="11"/>
  <c r="L57" i="10" s="1"/>
  <c r="N203" i="11"/>
  <c r="N223" i="11"/>
  <c r="N50" i="11"/>
  <c r="N152" i="11"/>
  <c r="N170" i="11"/>
  <c r="L54" i="10" s="1"/>
  <c r="N198" i="11"/>
  <c r="L59" i="10" s="1"/>
  <c r="N218" i="11"/>
  <c r="N193" i="11"/>
  <c r="L58" i="10" s="1"/>
  <c r="N251" i="11"/>
  <c r="N268" i="11"/>
  <c r="L83" i="10" s="1"/>
  <c r="N181" i="11"/>
  <c r="L56" i="10" s="1"/>
  <c r="N213" i="11"/>
  <c r="L62" i="10" s="1"/>
  <c r="N68" i="11"/>
  <c r="N246" i="11"/>
  <c r="L77" i="10" s="1"/>
  <c r="N241" i="11"/>
  <c r="N261" i="11"/>
  <c r="L80" i="10" s="1"/>
  <c r="N256" i="11"/>
  <c r="N165" i="11"/>
  <c r="P135" i="11"/>
  <c r="P50" i="11"/>
  <c r="P124" i="11"/>
  <c r="P141" i="11"/>
  <c r="P147" i="11" s="1"/>
  <c r="P152" i="11"/>
  <c r="P84" i="11"/>
  <c r="P130" i="11"/>
  <c r="P136" i="11" s="1"/>
  <c r="P44" i="11"/>
  <c r="P56" i="11"/>
  <c r="P76" i="11"/>
  <c r="P116" i="11"/>
  <c r="P125" i="11" s="1"/>
  <c r="P146" i="11"/>
  <c r="P165" i="11"/>
  <c r="P181" i="11"/>
  <c r="P193" i="11"/>
  <c r="P213" i="11"/>
  <c r="P92" i="11"/>
  <c r="P208" i="11"/>
  <c r="P228" i="11"/>
  <c r="P104" i="11"/>
  <c r="P159" i="11"/>
  <c r="P160" i="11" s="1"/>
  <c r="P175" i="11"/>
  <c r="P187" i="11"/>
  <c r="P203" i="11"/>
  <c r="P218" i="11"/>
  <c r="P256" i="11"/>
  <c r="P268" i="11"/>
  <c r="P261" i="11"/>
  <c r="P251" i="11"/>
  <c r="P241" i="11"/>
  <c r="P68" i="11"/>
  <c r="P198" i="11"/>
  <c r="P223" i="11"/>
  <c r="P246" i="11"/>
  <c r="P170" i="11"/>
  <c r="L84" i="11"/>
  <c r="L130" i="11"/>
  <c r="L136" i="11" s="1"/>
  <c r="L44" i="11"/>
  <c r="L56" i="11"/>
  <c r="L76" i="11"/>
  <c r="L116" i="11"/>
  <c r="L146" i="11"/>
  <c r="L135" i="11"/>
  <c r="L50" i="11"/>
  <c r="J26" i="10" s="1"/>
  <c r="L124" i="11"/>
  <c r="L141" i="11"/>
  <c r="L147" i="11" s="1"/>
  <c r="L152" i="11"/>
  <c r="L92" i="11"/>
  <c r="L159" i="11"/>
  <c r="L160" i="11" s="1"/>
  <c r="L175" i="11"/>
  <c r="L187" i="11"/>
  <c r="L203" i="11"/>
  <c r="J60" i="10" s="1"/>
  <c r="L223" i="11"/>
  <c r="J64" i="10" s="1"/>
  <c r="L104" i="11"/>
  <c r="J42" i="10" s="1"/>
  <c r="L170" i="11"/>
  <c r="J54" i="10" s="1"/>
  <c r="L198" i="11"/>
  <c r="L218" i="11"/>
  <c r="J63" i="10" s="1"/>
  <c r="L68" i="11"/>
  <c r="L165" i="11"/>
  <c r="L181" i="11"/>
  <c r="L193" i="11"/>
  <c r="L213" i="11"/>
  <c r="L246" i="11"/>
  <c r="J77" i="10" s="1"/>
  <c r="L228" i="11"/>
  <c r="L251" i="11"/>
  <c r="J78" i="10" s="1"/>
  <c r="L268" i="11"/>
  <c r="J83" i="10" s="1"/>
  <c r="L241" i="11"/>
  <c r="L261" i="11"/>
  <c r="J80" i="10" s="1"/>
  <c r="L208" i="11"/>
  <c r="J61" i="10" s="1"/>
  <c r="L256" i="11"/>
  <c r="M44" i="11"/>
  <c r="M56" i="11"/>
  <c r="M104" i="11"/>
  <c r="M76" i="11"/>
  <c r="M116" i="11"/>
  <c r="M50" i="11"/>
  <c r="M68" i="11"/>
  <c r="M92" i="11"/>
  <c r="M146" i="11"/>
  <c r="M208" i="11"/>
  <c r="M228" i="11"/>
  <c r="M130" i="11"/>
  <c r="M136" i="11" s="1"/>
  <c r="M135" i="11"/>
  <c r="M141" i="11"/>
  <c r="M147" i="11" s="1"/>
  <c r="M159" i="11"/>
  <c r="M160" i="11" s="1"/>
  <c r="M175" i="11"/>
  <c r="M187" i="11"/>
  <c r="M203" i="11"/>
  <c r="M223" i="11"/>
  <c r="M152" i="11"/>
  <c r="M170" i="11"/>
  <c r="M198" i="11"/>
  <c r="M218" i="11"/>
  <c r="M84" i="11"/>
  <c r="M124" i="11"/>
  <c r="M181" i="11"/>
  <c r="M213" i="11"/>
  <c r="K62" i="10" s="1"/>
  <c r="M246" i="11"/>
  <c r="K77" i="10" s="1"/>
  <c r="M251" i="11"/>
  <c r="M241" i="11"/>
  <c r="M261" i="11"/>
  <c r="M193" i="11"/>
  <c r="M165" i="11"/>
  <c r="M268" i="11"/>
  <c r="M256" i="11"/>
  <c r="K79" i="10" s="1"/>
  <c r="K44" i="11"/>
  <c r="I25" i="10" s="1"/>
  <c r="K56" i="11"/>
  <c r="K104" i="11"/>
  <c r="K50" i="11"/>
  <c r="K68" i="11"/>
  <c r="K92" i="11"/>
  <c r="K76" i="11"/>
  <c r="K130" i="11"/>
  <c r="K135" i="11"/>
  <c r="I49" i="10" s="1"/>
  <c r="K159" i="11"/>
  <c r="K175" i="11"/>
  <c r="K187" i="11"/>
  <c r="K203" i="11"/>
  <c r="K223" i="11"/>
  <c r="K116" i="11"/>
  <c r="K141" i="11"/>
  <c r="I50" i="10" s="1"/>
  <c r="K152" i="11"/>
  <c r="K170" i="11"/>
  <c r="K198" i="11"/>
  <c r="K218" i="11"/>
  <c r="K84" i="11"/>
  <c r="K124" i="11"/>
  <c r="K165" i="11"/>
  <c r="K181" i="11"/>
  <c r="K193" i="11"/>
  <c r="K213" i="11"/>
  <c r="K228" i="11"/>
  <c r="K146" i="11"/>
  <c r="K241" i="11"/>
  <c r="K261" i="11"/>
  <c r="K246" i="11"/>
  <c r="K208" i="11"/>
  <c r="K256" i="11"/>
  <c r="K251" i="11"/>
  <c r="K268" i="11"/>
  <c r="Q50" i="11"/>
  <c r="Q68" i="11"/>
  <c r="Q92" i="11"/>
  <c r="Q124" i="11"/>
  <c r="Q44" i="11"/>
  <c r="Q56" i="11"/>
  <c r="Q104" i="11"/>
  <c r="Q170" i="11"/>
  <c r="Q198" i="11"/>
  <c r="Q218" i="11"/>
  <c r="Q76" i="11"/>
  <c r="Q165" i="11"/>
  <c r="Q181" i="11"/>
  <c r="Q193" i="11"/>
  <c r="Q213" i="11"/>
  <c r="Q116" i="11"/>
  <c r="Q125" i="11" s="1"/>
  <c r="Q130" i="11"/>
  <c r="Q136" i="11" s="1"/>
  <c r="Q135" i="11"/>
  <c r="Q146" i="11"/>
  <c r="Q208" i="11"/>
  <c r="Q228" i="11"/>
  <c r="Q141" i="11"/>
  <c r="Q147" i="11" s="1"/>
  <c r="Q187" i="11"/>
  <c r="Q175" i="11"/>
  <c r="Q203" i="11"/>
  <c r="Q256" i="11"/>
  <c r="Q268" i="11"/>
  <c r="Q84" i="11"/>
  <c r="Q251" i="11"/>
  <c r="Q159" i="11"/>
  <c r="Q160" i="11" s="1"/>
  <c r="Q241" i="11"/>
  <c r="Q261" i="11"/>
  <c r="Q223" i="11"/>
  <c r="Q246" i="11"/>
  <c r="Q152" i="11"/>
  <c r="O50" i="11"/>
  <c r="O68" i="11"/>
  <c r="O92" i="11"/>
  <c r="O84" i="11"/>
  <c r="O44" i="11"/>
  <c r="O56" i="11"/>
  <c r="M27" i="10" s="1"/>
  <c r="O104" i="11"/>
  <c r="O165" i="11"/>
  <c r="M53" i="10" s="1"/>
  <c r="O181" i="11"/>
  <c r="M56" i="10" s="1"/>
  <c r="O193" i="11"/>
  <c r="M58" i="10" s="1"/>
  <c r="O213" i="11"/>
  <c r="M62" i="10" s="1"/>
  <c r="O76" i="11"/>
  <c r="O116" i="11"/>
  <c r="O130" i="11"/>
  <c r="O136" i="11" s="1"/>
  <c r="O135" i="11"/>
  <c r="M49" i="10" s="1"/>
  <c r="O146" i="11"/>
  <c r="O208" i="11"/>
  <c r="M61" i="10" s="1"/>
  <c r="O228" i="11"/>
  <c r="O141" i="11"/>
  <c r="O147" i="11" s="1"/>
  <c r="O159" i="11"/>
  <c r="O160" i="11" s="1"/>
  <c r="O175" i="11"/>
  <c r="O187" i="11"/>
  <c r="M57" i="10" s="1"/>
  <c r="O203" i="11"/>
  <c r="M60" i="10" s="1"/>
  <c r="O223" i="11"/>
  <c r="O152" i="11"/>
  <c r="O251" i="11"/>
  <c r="M78" i="10" s="1"/>
  <c r="O268" i="11"/>
  <c r="M83" i="10" s="1"/>
  <c r="O124" i="11"/>
  <c r="O246" i="11"/>
  <c r="O198" i="11"/>
  <c r="M59" i="10" s="1"/>
  <c r="O218" i="11"/>
  <c r="O256" i="11"/>
  <c r="O170" i="11"/>
  <c r="O241" i="11"/>
  <c r="O261" i="11"/>
  <c r="M80" i="10" s="1"/>
  <c r="P117" i="11"/>
  <c r="K49" i="10"/>
  <c r="K53" i="10"/>
  <c r="K60" i="10"/>
  <c r="K78" i="10"/>
  <c r="K83" i="10"/>
  <c r="M64" i="10"/>
  <c r="L53" i="10"/>
  <c r="L79" i="10"/>
  <c r="J53" i="10"/>
  <c r="J27" i="10"/>
  <c r="J55" i="10"/>
  <c r="J57" i="10"/>
  <c r="K26" i="10"/>
  <c r="AX268" i="11"/>
  <c r="AX267" i="11"/>
  <c r="AX266" i="11"/>
  <c r="AX261" i="11"/>
  <c r="AX260" i="11"/>
  <c r="AX259" i="11"/>
  <c r="AX256" i="11"/>
  <c r="AX255" i="11"/>
  <c r="AX254" i="11"/>
  <c r="AX251" i="11"/>
  <c r="AX250" i="11"/>
  <c r="AX249" i="11"/>
  <c r="AX246" i="11"/>
  <c r="AX245" i="11"/>
  <c r="AX244" i="11"/>
  <c r="AX241" i="11"/>
  <c r="AX240" i="11"/>
  <c r="AX239" i="11"/>
  <c r="AX228" i="11"/>
  <c r="AX227" i="11"/>
  <c r="AX226" i="11"/>
  <c r="AX223" i="11"/>
  <c r="AX222" i="11"/>
  <c r="AX221" i="11"/>
  <c r="AX218" i="11"/>
  <c r="AX217" i="11"/>
  <c r="AX216" i="11"/>
  <c r="AX213" i="11"/>
  <c r="AX212" i="11"/>
  <c r="AX211" i="11"/>
  <c r="AX208" i="11"/>
  <c r="AX207" i="11"/>
  <c r="AX206" i="11"/>
  <c r="AX203" i="11"/>
  <c r="AX202" i="11"/>
  <c r="AX201" i="11"/>
  <c r="AX198" i="11"/>
  <c r="AX197" i="11"/>
  <c r="AX196" i="11"/>
  <c r="AX193" i="11"/>
  <c r="AX192" i="11"/>
  <c r="AX191" i="11"/>
  <c r="AX187" i="11"/>
  <c r="AX186" i="11"/>
  <c r="AX185" i="11"/>
  <c r="AX181" i="11"/>
  <c r="AX180" i="11"/>
  <c r="AX179" i="11"/>
  <c r="AX175" i="11"/>
  <c r="AX174" i="11"/>
  <c r="AX173" i="11"/>
  <c r="AX170" i="11"/>
  <c r="AX169" i="11"/>
  <c r="AX168" i="11"/>
  <c r="AX165" i="11"/>
  <c r="AX164" i="11"/>
  <c r="AX163" i="11"/>
  <c r="AX159" i="11"/>
  <c r="AX158" i="11"/>
  <c r="AX157" i="11"/>
  <c r="AX152" i="11"/>
  <c r="AX151" i="11"/>
  <c r="AX150" i="11"/>
  <c r="AX146" i="11"/>
  <c r="AX145" i="11"/>
  <c r="AX144" i="11"/>
  <c r="AX141" i="11"/>
  <c r="AX140" i="11"/>
  <c r="AX139" i="11"/>
  <c r="AX135" i="11"/>
  <c r="AX134" i="11"/>
  <c r="AX133" i="11"/>
  <c r="AX130" i="11"/>
  <c r="AX129" i="11"/>
  <c r="AX128" i="11"/>
  <c r="AX124" i="11"/>
  <c r="AX123" i="11"/>
  <c r="AX122" i="11"/>
  <c r="AX116" i="11"/>
  <c r="AX115" i="11"/>
  <c r="AX114" i="11"/>
  <c r="AX104" i="11"/>
  <c r="AX103" i="11"/>
  <c r="AX102" i="11"/>
  <c r="AX92" i="11"/>
  <c r="AX44" i="11"/>
  <c r="AX68" i="11"/>
  <c r="AX43" i="11"/>
  <c r="AX90" i="11"/>
  <c r="AX89" i="11"/>
  <c r="AX84" i="11"/>
  <c r="AX82" i="11"/>
  <c r="AX81" i="11"/>
  <c r="AX66" i="11"/>
  <c r="AX65" i="11"/>
  <c r="AX56" i="11"/>
  <c r="AX55" i="11"/>
  <c r="AX54" i="11"/>
  <c r="AX50" i="11"/>
  <c r="AX48" i="11"/>
  <c r="AX42" i="11"/>
  <c r="AX76" i="11"/>
  <c r="AX49" i="11"/>
  <c r="BB268" i="11"/>
  <c r="BB267" i="11"/>
  <c r="BB266" i="11"/>
  <c r="BB261" i="11"/>
  <c r="BB260" i="11"/>
  <c r="BB259" i="11"/>
  <c r="BB256" i="11"/>
  <c r="BB255" i="11"/>
  <c r="BB254" i="11"/>
  <c r="BB251" i="11"/>
  <c r="BB250" i="11"/>
  <c r="BB249" i="11"/>
  <c r="BB246" i="11"/>
  <c r="BB245" i="11"/>
  <c r="BB244" i="11"/>
  <c r="BB241" i="11"/>
  <c r="BB240" i="11"/>
  <c r="BB239" i="11"/>
  <c r="BB228" i="11"/>
  <c r="BB227" i="11"/>
  <c r="BB226" i="11"/>
  <c r="BB223" i="11"/>
  <c r="BB222" i="11"/>
  <c r="BB221" i="11"/>
  <c r="BB218" i="11"/>
  <c r="BB217" i="11"/>
  <c r="BB216" i="11"/>
  <c r="BB213" i="11"/>
  <c r="BB212" i="11"/>
  <c r="BB211" i="11"/>
  <c r="BB208" i="11"/>
  <c r="BB207" i="11"/>
  <c r="BB206" i="11"/>
  <c r="BB203" i="11"/>
  <c r="BB202" i="11"/>
  <c r="BB201" i="11"/>
  <c r="BB198" i="11"/>
  <c r="BB197" i="11"/>
  <c r="BB196" i="11"/>
  <c r="BB193" i="11"/>
  <c r="BB192" i="11"/>
  <c r="BB191" i="11"/>
  <c r="BB187" i="11"/>
  <c r="BB186" i="11"/>
  <c r="BB185" i="11"/>
  <c r="BB181" i="11"/>
  <c r="BB180" i="11"/>
  <c r="BB179" i="11"/>
  <c r="BB175" i="11"/>
  <c r="BB174" i="11"/>
  <c r="BB173" i="11"/>
  <c r="BB170" i="11"/>
  <c r="BB169" i="11"/>
  <c r="BB168" i="11"/>
  <c r="BB165" i="11"/>
  <c r="BB164" i="11"/>
  <c r="BB163" i="11"/>
  <c r="BB159" i="11"/>
  <c r="BB158" i="11"/>
  <c r="BB157" i="11"/>
  <c r="BB152" i="11"/>
  <c r="BB151" i="11"/>
  <c r="BB150" i="11"/>
  <c r="BB146" i="11"/>
  <c r="BB145" i="11"/>
  <c r="BB144" i="11"/>
  <c r="BB141" i="11"/>
  <c r="BB140" i="11"/>
  <c r="BB139" i="11"/>
  <c r="BB135" i="11"/>
  <c r="BB134" i="11"/>
  <c r="BB133" i="11"/>
  <c r="BB130" i="11"/>
  <c r="BB129" i="11"/>
  <c r="BB128" i="11"/>
  <c r="BB124" i="11"/>
  <c r="BB123" i="11"/>
  <c r="BB122" i="11"/>
  <c r="BB116" i="11"/>
  <c r="BB115" i="11"/>
  <c r="BB114" i="11"/>
  <c r="BB104" i="11"/>
  <c r="BB103" i="11"/>
  <c r="BB102" i="11"/>
  <c r="BB92" i="11"/>
  <c r="BB76" i="11"/>
  <c r="BB49" i="11"/>
  <c r="BB42" i="11"/>
  <c r="BB66" i="11"/>
  <c r="BB43" i="11"/>
  <c r="BB90" i="11"/>
  <c r="BB89" i="11"/>
  <c r="BB84" i="11"/>
  <c r="BB82" i="11"/>
  <c r="BB81" i="11"/>
  <c r="BB68" i="11"/>
  <c r="BB65" i="11"/>
  <c r="BB56" i="11"/>
  <c r="BB55" i="11"/>
  <c r="BB54" i="11"/>
  <c r="BB50" i="11"/>
  <c r="BB48" i="11"/>
  <c r="BB44" i="11"/>
  <c r="BD268" i="11"/>
  <c r="BD266" i="11"/>
  <c r="BD260" i="11"/>
  <c r="BD255" i="11"/>
  <c r="BD249" i="11"/>
  <c r="BD241" i="11"/>
  <c r="BD227" i="11"/>
  <c r="BD221" i="11"/>
  <c r="BD213" i="11"/>
  <c r="BD207" i="11"/>
  <c r="BD201" i="11"/>
  <c r="BD193" i="11"/>
  <c r="BD186" i="11"/>
  <c r="BD179" i="11"/>
  <c r="BD170" i="11"/>
  <c r="BD164" i="11"/>
  <c r="BD157" i="11"/>
  <c r="BD146" i="11"/>
  <c r="BD140" i="11"/>
  <c r="BD133" i="11"/>
  <c r="BD124" i="11"/>
  <c r="BD115" i="11"/>
  <c r="BD102" i="11"/>
  <c r="BD49" i="11"/>
  <c r="BD76" i="11"/>
  <c r="BD256" i="11"/>
  <c r="BD250" i="11"/>
  <c r="BD244" i="11"/>
  <c r="BD228" i="11"/>
  <c r="BD222" i="11"/>
  <c r="BD216" i="11"/>
  <c r="BD208" i="11"/>
  <c r="BD202" i="11"/>
  <c r="BD196" i="11"/>
  <c r="BD187" i="11"/>
  <c r="BD180" i="11"/>
  <c r="BD173" i="11"/>
  <c r="BD165" i="11"/>
  <c r="BD158" i="11"/>
  <c r="BD150" i="11"/>
  <c r="BD141" i="11"/>
  <c r="BD134" i="11"/>
  <c r="BD128" i="11"/>
  <c r="BD116" i="11"/>
  <c r="BD103" i="11"/>
  <c r="BD42" i="11"/>
  <c r="BD267" i="11"/>
  <c r="BD261" i="11"/>
  <c r="BD66" i="11"/>
  <c r="BD43" i="11"/>
  <c r="BD259" i="11"/>
  <c r="BD251" i="11"/>
  <c r="BD245" i="11"/>
  <c r="BD239" i="11"/>
  <c r="BD223" i="11"/>
  <c r="BD217" i="11"/>
  <c r="BD211" i="11"/>
  <c r="BD203" i="11"/>
  <c r="BD197" i="11"/>
  <c r="BD191" i="11"/>
  <c r="BD181" i="11"/>
  <c r="BD174" i="11"/>
  <c r="BD168" i="11"/>
  <c r="BD159" i="11"/>
  <c r="BD151" i="11"/>
  <c r="BD144" i="11"/>
  <c r="BD135" i="11"/>
  <c r="BD129" i="11"/>
  <c r="BD122" i="11"/>
  <c r="BD104" i="11"/>
  <c r="BD90" i="11"/>
  <c r="BD89" i="11"/>
  <c r="BD84" i="11"/>
  <c r="BD82" i="11"/>
  <c r="BD81" i="11"/>
  <c r="BD68" i="11"/>
  <c r="BD65" i="11"/>
  <c r="BD56" i="11"/>
  <c r="BD55" i="11"/>
  <c r="BD54" i="11"/>
  <c r="BD50" i="11"/>
  <c r="BD48" i="11"/>
  <c r="BD44" i="11"/>
  <c r="BD254" i="11"/>
  <c r="BD246" i="11"/>
  <c r="BD240" i="11"/>
  <c r="BD226" i="11"/>
  <c r="BD218" i="11"/>
  <c r="BD212" i="11"/>
  <c r="BD206" i="11"/>
  <c r="BD198" i="11"/>
  <c r="BD192" i="11"/>
  <c r="BD185" i="11"/>
  <c r="BD175" i="11"/>
  <c r="BD169" i="11"/>
  <c r="BD163" i="11"/>
  <c r="BD152" i="11"/>
  <c r="BD145" i="11"/>
  <c r="BD139" i="11"/>
  <c r="BD130" i="11"/>
  <c r="BD123" i="11"/>
  <c r="BD114" i="11"/>
  <c r="BD92" i="11"/>
  <c r="BE268" i="11"/>
  <c r="BE267" i="11"/>
  <c r="BE266" i="11"/>
  <c r="BE261" i="11"/>
  <c r="BE260" i="11"/>
  <c r="BE255" i="11"/>
  <c r="BE249" i="11"/>
  <c r="BE241" i="11"/>
  <c r="BE227" i="11"/>
  <c r="BE221" i="11"/>
  <c r="BE213" i="11"/>
  <c r="BE207" i="11"/>
  <c r="BE201" i="11"/>
  <c r="BE193" i="11"/>
  <c r="BE186" i="11"/>
  <c r="BE179" i="11"/>
  <c r="BE170" i="11"/>
  <c r="BE164" i="11"/>
  <c r="BE157" i="11"/>
  <c r="BE146" i="11"/>
  <c r="BE140" i="11"/>
  <c r="BE133" i="11"/>
  <c r="BE124" i="11"/>
  <c r="BE115" i="11"/>
  <c r="BE102" i="11"/>
  <c r="BE49" i="11"/>
  <c r="BE256" i="11"/>
  <c r="BE250" i="11"/>
  <c r="BE244" i="11"/>
  <c r="BE228" i="11"/>
  <c r="BE222" i="11"/>
  <c r="BE216" i="11"/>
  <c r="BE208" i="11"/>
  <c r="BE202" i="11"/>
  <c r="BE196" i="11"/>
  <c r="BE187" i="11"/>
  <c r="BE180" i="11"/>
  <c r="BE173" i="11"/>
  <c r="BE165" i="11"/>
  <c r="BE158" i="11"/>
  <c r="BE150" i="11"/>
  <c r="BE141" i="11"/>
  <c r="BE134" i="11"/>
  <c r="BE128" i="11"/>
  <c r="BE116" i="11"/>
  <c r="BE103" i="11"/>
  <c r="BE42" i="11"/>
  <c r="BE76" i="11"/>
  <c r="BE66" i="11"/>
  <c r="BE43" i="11"/>
  <c r="BE259" i="11"/>
  <c r="BE251" i="11"/>
  <c r="BE245" i="11"/>
  <c r="BE239" i="11"/>
  <c r="BE223" i="11"/>
  <c r="BE217" i="11"/>
  <c r="BE211" i="11"/>
  <c r="BE203" i="11"/>
  <c r="BE197" i="11"/>
  <c r="BE191" i="11"/>
  <c r="BE181" i="11"/>
  <c r="BE174" i="11"/>
  <c r="BE168" i="11"/>
  <c r="BE159" i="11"/>
  <c r="BE151" i="11"/>
  <c r="BE144" i="11"/>
  <c r="BE135" i="11"/>
  <c r="BE129" i="11"/>
  <c r="BE122" i="11"/>
  <c r="BE104" i="11"/>
  <c r="BE90" i="11"/>
  <c r="BE89" i="11"/>
  <c r="BE84" i="11"/>
  <c r="BE82" i="11"/>
  <c r="BE81" i="11"/>
  <c r="BE68" i="11"/>
  <c r="BE65" i="11"/>
  <c r="BE56" i="11"/>
  <c r="BE55" i="11"/>
  <c r="BE54" i="11"/>
  <c r="BE50" i="11"/>
  <c r="BE48" i="11"/>
  <c r="BE44" i="11"/>
  <c r="BE254" i="11"/>
  <c r="BE246" i="11"/>
  <c r="BE240" i="11"/>
  <c r="BE226" i="11"/>
  <c r="BE218" i="11"/>
  <c r="BE212" i="11"/>
  <c r="BE206" i="11"/>
  <c r="BE198" i="11"/>
  <c r="BE192" i="11"/>
  <c r="BE185" i="11"/>
  <c r="BE175" i="11"/>
  <c r="BE169" i="11"/>
  <c r="BE163" i="11"/>
  <c r="BE152" i="11"/>
  <c r="BE145" i="11"/>
  <c r="BE139" i="11"/>
  <c r="BE130" i="11"/>
  <c r="BE123" i="11"/>
  <c r="BE114" i="11"/>
  <c r="BE92" i="11"/>
  <c r="BA268" i="11"/>
  <c r="BA267" i="11"/>
  <c r="BA266" i="11"/>
  <c r="BA261" i="11"/>
  <c r="BA260" i="11"/>
  <c r="BA90" i="11"/>
  <c r="BA89" i="11"/>
  <c r="BA84" i="11"/>
  <c r="BA82" i="11"/>
  <c r="BA81" i="11"/>
  <c r="BA68" i="11"/>
  <c r="BA65" i="11"/>
  <c r="BA56" i="11"/>
  <c r="BA55" i="11"/>
  <c r="BA54" i="11"/>
  <c r="BA50" i="11"/>
  <c r="BA48" i="11"/>
  <c r="BA44" i="11"/>
  <c r="BA254" i="11"/>
  <c r="BA246" i="11"/>
  <c r="BA240" i="11"/>
  <c r="BA226" i="11"/>
  <c r="BA218" i="11"/>
  <c r="BA212" i="11"/>
  <c r="BA206" i="11"/>
  <c r="BA198" i="11"/>
  <c r="BA192" i="11"/>
  <c r="BA185" i="11"/>
  <c r="BA175" i="11"/>
  <c r="BA169" i="11"/>
  <c r="BA163" i="11"/>
  <c r="BA152" i="11"/>
  <c r="BA145" i="11"/>
  <c r="BA139" i="11"/>
  <c r="BA130" i="11"/>
  <c r="BA123" i="11"/>
  <c r="BA114" i="11"/>
  <c r="BA92" i="11"/>
  <c r="BA255" i="11"/>
  <c r="BA249" i="11"/>
  <c r="BA241" i="11"/>
  <c r="BA227" i="11"/>
  <c r="BA221" i="11"/>
  <c r="BA213" i="11"/>
  <c r="BA207" i="11"/>
  <c r="BA201" i="11"/>
  <c r="BA193" i="11"/>
  <c r="BA186" i="11"/>
  <c r="BA179" i="11"/>
  <c r="BA170" i="11"/>
  <c r="BA164" i="11"/>
  <c r="BA157" i="11"/>
  <c r="BA146" i="11"/>
  <c r="BA140" i="11"/>
  <c r="BA133" i="11"/>
  <c r="BA124" i="11"/>
  <c r="BA115" i="11"/>
  <c r="BA102" i="11"/>
  <c r="BA49" i="11"/>
  <c r="BA256" i="11"/>
  <c r="BA250" i="11"/>
  <c r="BA244" i="11"/>
  <c r="BA228" i="11"/>
  <c r="BA222" i="11"/>
  <c r="BA216" i="11"/>
  <c r="BA208" i="11"/>
  <c r="BA202" i="11"/>
  <c r="BA196" i="11"/>
  <c r="BA187" i="11"/>
  <c r="BA180" i="11"/>
  <c r="BA173" i="11"/>
  <c r="BA165" i="11"/>
  <c r="BA158" i="11"/>
  <c r="BA150" i="11"/>
  <c r="BA141" i="11"/>
  <c r="BA134" i="11"/>
  <c r="BA128" i="11"/>
  <c r="BA116" i="11"/>
  <c r="BA103" i="11"/>
  <c r="BA42" i="11"/>
  <c r="BA259" i="11"/>
  <c r="BA251" i="11"/>
  <c r="BA245" i="11"/>
  <c r="BA239" i="11"/>
  <c r="BA223" i="11"/>
  <c r="BA217" i="11"/>
  <c r="BA211" i="11"/>
  <c r="BA203" i="11"/>
  <c r="BA197" i="11"/>
  <c r="BA191" i="11"/>
  <c r="BA181" i="11"/>
  <c r="BA174" i="11"/>
  <c r="BA168" i="11"/>
  <c r="BA159" i="11"/>
  <c r="BA151" i="11"/>
  <c r="BA144" i="11"/>
  <c r="BA135" i="11"/>
  <c r="BA129" i="11"/>
  <c r="BA122" i="11"/>
  <c r="BA104" i="11"/>
  <c r="BA76" i="11"/>
  <c r="BA66" i="11"/>
  <c r="BA43" i="11"/>
  <c r="AZ259" i="11"/>
  <c r="AZ251" i="11"/>
  <c r="AZ245" i="11"/>
  <c r="AZ239" i="11"/>
  <c r="AZ223" i="11"/>
  <c r="AZ217" i="11"/>
  <c r="AZ211" i="11"/>
  <c r="AZ203" i="11"/>
  <c r="AZ197" i="11"/>
  <c r="AZ191" i="11"/>
  <c r="AZ181" i="11"/>
  <c r="AZ174" i="11"/>
  <c r="AZ168" i="11"/>
  <c r="AZ159" i="11"/>
  <c r="AZ151" i="11"/>
  <c r="AZ144" i="11"/>
  <c r="AZ135" i="11"/>
  <c r="AZ129" i="11"/>
  <c r="AZ122" i="11"/>
  <c r="AZ104" i="11"/>
  <c r="AZ66" i="11"/>
  <c r="AZ43" i="11"/>
  <c r="AZ90" i="11"/>
  <c r="AZ89" i="11"/>
  <c r="AZ84" i="11"/>
  <c r="AZ82" i="11"/>
  <c r="AZ81" i="11"/>
  <c r="AZ68" i="11"/>
  <c r="AZ65" i="11"/>
  <c r="AZ56" i="11"/>
  <c r="AZ55" i="11"/>
  <c r="AZ54" i="11"/>
  <c r="AZ50" i="11"/>
  <c r="AZ48" i="11"/>
  <c r="AZ44" i="11"/>
  <c r="AZ268" i="11"/>
  <c r="AZ266" i="11"/>
  <c r="AZ260" i="11"/>
  <c r="AZ254" i="11"/>
  <c r="AZ246" i="11"/>
  <c r="AZ240" i="11"/>
  <c r="AZ226" i="11"/>
  <c r="AZ218" i="11"/>
  <c r="AZ212" i="11"/>
  <c r="AZ206" i="11"/>
  <c r="AZ198" i="11"/>
  <c r="AZ192" i="11"/>
  <c r="AZ185" i="11"/>
  <c r="AZ175" i="11"/>
  <c r="AZ169" i="11"/>
  <c r="AZ163" i="11"/>
  <c r="AZ152" i="11"/>
  <c r="AZ145" i="11"/>
  <c r="AZ139" i="11"/>
  <c r="AZ130" i="11"/>
  <c r="AZ123" i="11"/>
  <c r="AZ114" i="11"/>
  <c r="AZ92" i="11"/>
  <c r="AZ255" i="11"/>
  <c r="AZ249" i="11"/>
  <c r="AZ241" i="11"/>
  <c r="AZ227" i="11"/>
  <c r="AZ221" i="11"/>
  <c r="AZ213" i="11"/>
  <c r="AZ207" i="11"/>
  <c r="AZ201" i="11"/>
  <c r="AZ193" i="11"/>
  <c r="AZ186" i="11"/>
  <c r="AZ179" i="11"/>
  <c r="AZ170" i="11"/>
  <c r="AZ164" i="11"/>
  <c r="AZ157" i="11"/>
  <c r="AZ146" i="11"/>
  <c r="AZ140" i="11"/>
  <c r="AZ133" i="11"/>
  <c r="AZ124" i="11"/>
  <c r="AZ115" i="11"/>
  <c r="AZ102" i="11"/>
  <c r="AZ49" i="11"/>
  <c r="AZ267" i="11"/>
  <c r="AZ261" i="11"/>
  <c r="AZ256" i="11"/>
  <c r="AZ250" i="11"/>
  <c r="AZ244" i="11"/>
  <c r="AZ228" i="11"/>
  <c r="AZ222" i="11"/>
  <c r="AZ216" i="11"/>
  <c r="AZ208" i="11"/>
  <c r="AZ202" i="11"/>
  <c r="AZ196" i="11"/>
  <c r="AZ187" i="11"/>
  <c r="AZ180" i="11"/>
  <c r="AZ173" i="11"/>
  <c r="AZ165" i="11"/>
  <c r="AZ158" i="11"/>
  <c r="AZ150" i="11"/>
  <c r="AZ141" i="11"/>
  <c r="AZ134" i="11"/>
  <c r="AZ128" i="11"/>
  <c r="AZ116" i="11"/>
  <c r="AZ103" i="11"/>
  <c r="AZ76" i="11"/>
  <c r="AZ42" i="11"/>
  <c r="BC254" i="11"/>
  <c r="BC246" i="11"/>
  <c r="BC240" i="11"/>
  <c r="BC226" i="11"/>
  <c r="BC218" i="11"/>
  <c r="BC212" i="11"/>
  <c r="BC206" i="11"/>
  <c r="BC198" i="11"/>
  <c r="BC192" i="11"/>
  <c r="BC185" i="11"/>
  <c r="BC175" i="11"/>
  <c r="BC169" i="11"/>
  <c r="BC163" i="11"/>
  <c r="BC152" i="11"/>
  <c r="BC145" i="11"/>
  <c r="BC139" i="11"/>
  <c r="BC130" i="11"/>
  <c r="BC123" i="11"/>
  <c r="BC114" i="11"/>
  <c r="BC92" i="11"/>
  <c r="BC268" i="11"/>
  <c r="BC266" i="11"/>
  <c r="BC260" i="11"/>
  <c r="BC76" i="11"/>
  <c r="BC255" i="11"/>
  <c r="BC249" i="11"/>
  <c r="BC241" i="11"/>
  <c r="BC227" i="11"/>
  <c r="BC221" i="11"/>
  <c r="BC213" i="11"/>
  <c r="BC207" i="11"/>
  <c r="BC201" i="11"/>
  <c r="BC193" i="11"/>
  <c r="BC186" i="11"/>
  <c r="BC179" i="11"/>
  <c r="BC170" i="11"/>
  <c r="BC164" i="11"/>
  <c r="BC157" i="11"/>
  <c r="BC146" i="11"/>
  <c r="BC140" i="11"/>
  <c r="BC133" i="11"/>
  <c r="BC124" i="11"/>
  <c r="BC115" i="11"/>
  <c r="BC102" i="11"/>
  <c r="BC49" i="11"/>
  <c r="BC256" i="11"/>
  <c r="BC250" i="11"/>
  <c r="BC244" i="11"/>
  <c r="BC228" i="11"/>
  <c r="BC222" i="11"/>
  <c r="BC216" i="11"/>
  <c r="BC208" i="11"/>
  <c r="BC202" i="11"/>
  <c r="BC196" i="11"/>
  <c r="BC187" i="11"/>
  <c r="BC180" i="11"/>
  <c r="BC173" i="11"/>
  <c r="BC165" i="11"/>
  <c r="BC158" i="11"/>
  <c r="BC150" i="11"/>
  <c r="BC141" i="11"/>
  <c r="BC134" i="11"/>
  <c r="BC128" i="11"/>
  <c r="BC116" i="11"/>
  <c r="BC103" i="11"/>
  <c r="BC42" i="11"/>
  <c r="BC267" i="11"/>
  <c r="BC261" i="11"/>
  <c r="BC66" i="11"/>
  <c r="BC43" i="11"/>
  <c r="BC259" i="11"/>
  <c r="BC251" i="11"/>
  <c r="BC245" i="11"/>
  <c r="BC239" i="11"/>
  <c r="BC223" i="11"/>
  <c r="BC217" i="11"/>
  <c r="BC211" i="11"/>
  <c r="BC203" i="11"/>
  <c r="BC197" i="11"/>
  <c r="BC191" i="11"/>
  <c r="BC181" i="11"/>
  <c r="BC174" i="11"/>
  <c r="BC168" i="11"/>
  <c r="BC159" i="11"/>
  <c r="BC151" i="11"/>
  <c r="BC144" i="11"/>
  <c r="BC135" i="11"/>
  <c r="BC129" i="11"/>
  <c r="BC122" i="11"/>
  <c r="BC104" i="11"/>
  <c r="BC90" i="11"/>
  <c r="BC89" i="11"/>
  <c r="BC84" i="11"/>
  <c r="BC82" i="11"/>
  <c r="BC81" i="11"/>
  <c r="BC68" i="11"/>
  <c r="BC65" i="11"/>
  <c r="BC56" i="11"/>
  <c r="BC55" i="11"/>
  <c r="BC54" i="11"/>
  <c r="BC50" i="11"/>
  <c r="BC48" i="11"/>
  <c r="BC44" i="11"/>
  <c r="AY42" i="11"/>
  <c r="AY259" i="11"/>
  <c r="AY251" i="11"/>
  <c r="AY245" i="11"/>
  <c r="AY239" i="11"/>
  <c r="AY223" i="11"/>
  <c r="AY217" i="11"/>
  <c r="AY211" i="11"/>
  <c r="AY203" i="11"/>
  <c r="AY197" i="11"/>
  <c r="AY191" i="11"/>
  <c r="AY181" i="11"/>
  <c r="AY174" i="11"/>
  <c r="AY168" i="11"/>
  <c r="AY159" i="11"/>
  <c r="AY151" i="11"/>
  <c r="AY144" i="11"/>
  <c r="AY135" i="11"/>
  <c r="AY129" i="11"/>
  <c r="AY122" i="11"/>
  <c r="AY104" i="11"/>
  <c r="AY66" i="11"/>
  <c r="AY43" i="11"/>
  <c r="AY90" i="11"/>
  <c r="AY89" i="11"/>
  <c r="AY84" i="11"/>
  <c r="AY82" i="11"/>
  <c r="AY81" i="11"/>
  <c r="AY68" i="11"/>
  <c r="AY65" i="11"/>
  <c r="AY56" i="11"/>
  <c r="AY55" i="11"/>
  <c r="AY54" i="11"/>
  <c r="AY50" i="11"/>
  <c r="AY48" i="11"/>
  <c r="AY44" i="11"/>
  <c r="AY268" i="11"/>
  <c r="AY266" i="11"/>
  <c r="AY260" i="11"/>
  <c r="AY254" i="11"/>
  <c r="AY246" i="11"/>
  <c r="AY240" i="11"/>
  <c r="AY226" i="11"/>
  <c r="AY218" i="11"/>
  <c r="AY212" i="11"/>
  <c r="AY206" i="11"/>
  <c r="AY198" i="11"/>
  <c r="AY192" i="11"/>
  <c r="AY185" i="11"/>
  <c r="AY175" i="11"/>
  <c r="AY169" i="11"/>
  <c r="AY163" i="11"/>
  <c r="AY152" i="11"/>
  <c r="AY145" i="11"/>
  <c r="AY139" i="11"/>
  <c r="AY130" i="11"/>
  <c r="AY123" i="11"/>
  <c r="AY114" i="11"/>
  <c r="AY92" i="11"/>
  <c r="AY255" i="11"/>
  <c r="AY249" i="11"/>
  <c r="AY241" i="11"/>
  <c r="AY227" i="11"/>
  <c r="AY221" i="11"/>
  <c r="AY213" i="11"/>
  <c r="AY207" i="11"/>
  <c r="AY201" i="11"/>
  <c r="AY193" i="11"/>
  <c r="AY186" i="11"/>
  <c r="AY179" i="11"/>
  <c r="AY170" i="11"/>
  <c r="AY164" i="11"/>
  <c r="AY157" i="11"/>
  <c r="AY146" i="11"/>
  <c r="AY140" i="11"/>
  <c r="AY133" i="11"/>
  <c r="AY124" i="11"/>
  <c r="AY115" i="11"/>
  <c r="AY102" i="11"/>
  <c r="AY76" i="11"/>
  <c r="AY49" i="11"/>
  <c r="AY267" i="11"/>
  <c r="AY261" i="11"/>
  <c r="AY256" i="11"/>
  <c r="AY250" i="11"/>
  <c r="AY244" i="11"/>
  <c r="AY228" i="11"/>
  <c r="AY222" i="11"/>
  <c r="AY216" i="11"/>
  <c r="AY208" i="11"/>
  <c r="AY202" i="11"/>
  <c r="AY196" i="11"/>
  <c r="AY187" i="11"/>
  <c r="AY180" i="11"/>
  <c r="AY173" i="11"/>
  <c r="AY165" i="11"/>
  <c r="AY158" i="11"/>
  <c r="AY150" i="11"/>
  <c r="AY141" i="11"/>
  <c r="AY134" i="11"/>
  <c r="AY128" i="11"/>
  <c r="AY116" i="11"/>
  <c r="AY103" i="11"/>
  <c r="L61" i="10"/>
  <c r="L64" i="10"/>
  <c r="J49" i="10"/>
  <c r="J58" i="10"/>
  <c r="J59" i="10"/>
  <c r="J62" i="10"/>
  <c r="AK7" i="11"/>
  <c r="M5" i="10"/>
  <c r="AG19" i="11"/>
  <c r="P37" i="11"/>
  <c r="AH37" i="11" s="1"/>
  <c r="N5" i="10"/>
  <c r="AH19" i="11"/>
  <c r="Q19" i="11"/>
  <c r="Q117" i="11" s="1"/>
  <c r="Q37" i="11"/>
  <c r="AI37" i="11" s="1"/>
  <c r="AK8" i="11"/>
  <c r="AL8" i="11"/>
  <c r="AL7" i="11"/>
  <c r="AN7" i="11"/>
  <c r="AN8" i="11"/>
  <c r="AI8" i="11"/>
  <c r="AI7" i="11"/>
  <c r="AG7" i="11"/>
  <c r="AG8" i="11"/>
  <c r="AJ8" i="11"/>
  <c r="AJ7" i="11"/>
  <c r="AF7" i="11"/>
  <c r="AF8" i="11"/>
  <c r="AE8" i="11"/>
  <c r="AE7" i="11"/>
  <c r="AM8" i="11"/>
  <c r="AM7" i="11"/>
  <c r="AC8" i="11"/>
  <c r="AC7" i="11"/>
  <c r="AH7" i="11"/>
  <c r="AH8" i="11"/>
  <c r="AD8" i="11"/>
  <c r="AD7" i="11"/>
  <c r="R17" i="11"/>
  <c r="R37" i="11" a="1"/>
  <c r="AK103" i="11" a="1"/>
  <c r="AK48" i="11" a="1"/>
  <c r="AN42" i="11" a="1"/>
  <c r="AK42" i="11" a="1"/>
  <c r="AN174" i="11" a="1"/>
  <c r="AK266" i="11" a="1"/>
  <c r="AK144" i="11" a="1"/>
  <c r="AL48" i="11" a="1"/>
  <c r="AM180" i="11" a="1"/>
  <c r="AL217" i="11" a="1"/>
  <c r="AM168" i="11" a="1"/>
  <c r="L59" i="11" l="1"/>
  <c r="L64" i="11" s="1"/>
  <c r="O153" i="11"/>
  <c r="R153" i="11"/>
  <c r="O59" i="11"/>
  <c r="O93" i="11" s="1"/>
  <c r="P95" i="11"/>
  <c r="N231" i="11"/>
  <c r="P153" i="11"/>
  <c r="Q263" i="11"/>
  <c r="L263" i="11"/>
  <c r="R125" i="11"/>
  <c r="M153" i="11"/>
  <c r="N95" i="11"/>
  <c r="M125" i="11"/>
  <c r="M117" i="11"/>
  <c r="L95" i="11"/>
  <c r="L98" i="11" s="1"/>
  <c r="L106" i="11" s="1"/>
  <c r="P263" i="11"/>
  <c r="P59" i="11"/>
  <c r="N153" i="11"/>
  <c r="O231" i="11"/>
  <c r="O125" i="11"/>
  <c r="Q153" i="11"/>
  <c r="Q59" i="11"/>
  <c r="K95" i="11"/>
  <c r="R95" i="11"/>
  <c r="L77" i="11"/>
  <c r="L51" i="11"/>
  <c r="L69" i="11"/>
  <c r="L93" i="11"/>
  <c r="L85" i="11"/>
  <c r="L45" i="11"/>
  <c r="L57" i="11"/>
  <c r="L182" i="11"/>
  <c r="L188" i="11"/>
  <c r="L176" i="11"/>
  <c r="O51" i="11"/>
  <c r="O188" i="11"/>
  <c r="Q231" i="11"/>
  <c r="M231" i="11"/>
  <c r="L80" i="11"/>
  <c r="R59" i="11"/>
  <c r="O263" i="11"/>
  <c r="K153" i="11"/>
  <c r="O117" i="11"/>
  <c r="L153" i="11"/>
  <c r="L125" i="11"/>
  <c r="L117" i="11"/>
  <c r="N59" i="11"/>
  <c r="K160" i="11"/>
  <c r="M263" i="11"/>
  <c r="R263" i="11"/>
  <c r="Q95" i="11"/>
  <c r="K147" i="11"/>
  <c r="M95" i="11"/>
  <c r="M59" i="11"/>
  <c r="L231" i="11"/>
  <c r="L72" i="11"/>
  <c r="N263" i="11"/>
  <c r="O95" i="11"/>
  <c r="K263" i="11"/>
  <c r="K231" i="11"/>
  <c r="K125" i="11"/>
  <c r="K117" i="11"/>
  <c r="K136" i="11"/>
  <c r="K59" i="11"/>
  <c r="L88" i="11"/>
  <c r="P231" i="11"/>
  <c r="N125" i="11"/>
  <c r="N117" i="11"/>
  <c r="R231" i="11"/>
  <c r="AK48" i="11"/>
  <c r="S48" i="11" s="1"/>
  <c r="AK42" i="11"/>
  <c r="N21" i="10"/>
  <c r="M50" i="10"/>
  <c r="K50" i="10"/>
  <c r="J50" i="10"/>
  <c r="L50" i="10"/>
  <c r="AF128" i="11" a="1"/>
  <c r="AF128" i="11" s="1"/>
  <c r="AF139" i="11" a="1"/>
  <c r="AF139" i="11" s="1"/>
  <c r="AC128" i="11" a="1"/>
  <c r="AC128" i="11" s="1"/>
  <c r="AC139" i="11" a="1"/>
  <c r="AC139" i="11" s="1"/>
  <c r="AD129" i="11" a="1"/>
  <c r="AD129" i="11" s="1"/>
  <c r="AD140" i="11" a="1"/>
  <c r="AD140" i="11" s="1"/>
  <c r="AE129" i="11" a="1"/>
  <c r="AE129" i="11" s="1"/>
  <c r="AE140" i="11" a="1"/>
  <c r="AE140" i="11" s="1"/>
  <c r="AD128" i="11" a="1"/>
  <c r="AD128" i="11" s="1"/>
  <c r="AD139" i="11" a="1"/>
  <c r="AD139" i="11" s="1"/>
  <c r="AF129" i="11" a="1"/>
  <c r="AF129" i="11" s="1"/>
  <c r="AF140" i="11" a="1"/>
  <c r="AF140" i="11" s="1"/>
  <c r="AC129" i="11" a="1"/>
  <c r="AC129" i="11" s="1"/>
  <c r="AC140" i="11" a="1"/>
  <c r="AC140" i="11" s="1"/>
  <c r="AG129" i="11" a="1"/>
  <c r="AG129" i="11" s="1"/>
  <c r="AG140" i="11" a="1"/>
  <c r="AG140" i="11" s="1"/>
  <c r="AG128" i="11" a="1"/>
  <c r="AG128" i="11" s="1"/>
  <c r="AG139" i="11" a="1"/>
  <c r="AG139" i="11" s="1"/>
  <c r="AE128" i="11" a="1"/>
  <c r="AE128" i="11" s="1"/>
  <c r="AE139" i="11" a="1"/>
  <c r="AE139" i="11" s="1"/>
  <c r="AK144" i="11"/>
  <c r="S144" i="11" s="1"/>
  <c r="AG134" i="11" a="1"/>
  <c r="AG134" i="11" s="1"/>
  <c r="AG145" i="11" a="1"/>
  <c r="AG145" i="11" s="1"/>
  <c r="AG133" i="11" a="1"/>
  <c r="AG133" i="11" s="1"/>
  <c r="AG144" i="11" a="1"/>
  <c r="AG144" i="11" s="1"/>
  <c r="AC134" i="11" a="1"/>
  <c r="AC134" i="11" s="1"/>
  <c r="AC145" i="11" a="1"/>
  <c r="AC145" i="11" s="1"/>
  <c r="AD133" i="11" a="1"/>
  <c r="AD133" i="11" s="1"/>
  <c r="AD144" i="11" a="1"/>
  <c r="AD144" i="11" s="1"/>
  <c r="AD134" i="11" a="1"/>
  <c r="AD134" i="11" s="1"/>
  <c r="AD145" i="11" a="1"/>
  <c r="AD145" i="11" s="1"/>
  <c r="AE134" i="11" a="1"/>
  <c r="AE134" i="11" s="1"/>
  <c r="AE145" i="11" a="1"/>
  <c r="AE145" i="11" s="1"/>
  <c r="AF134" i="11" a="1"/>
  <c r="AF134" i="11" s="1"/>
  <c r="AF145" i="11" a="1"/>
  <c r="AF145" i="11" s="1"/>
  <c r="AE133" i="11" a="1"/>
  <c r="AE133" i="11" s="1"/>
  <c r="AE144" i="11" a="1"/>
  <c r="AE144" i="11" s="1"/>
  <c r="AF133" i="11" a="1"/>
  <c r="AF133" i="11" s="1"/>
  <c r="AF144" i="11" a="1"/>
  <c r="AF144" i="11" s="1"/>
  <c r="AC133" i="11" a="1"/>
  <c r="AC133" i="11" s="1"/>
  <c r="AC144" i="11" a="1"/>
  <c r="AC144" i="11" s="1"/>
  <c r="AI19" i="11"/>
  <c r="O21" i="10"/>
  <c r="L51" i="10"/>
  <c r="O5" i="10"/>
  <c r="L52" i="10"/>
  <c r="AN174" i="11"/>
  <c r="V174" i="11" s="1"/>
  <c r="R37" i="11"/>
  <c r="AJ37" i="11" s="1"/>
  <c r="AN42" i="11"/>
  <c r="V42" i="11" s="1"/>
  <c r="AL48" i="11"/>
  <c r="T48" i="11" s="1"/>
  <c r="AL217" i="11"/>
  <c r="T217" i="11" s="1"/>
  <c r="AM168" i="11"/>
  <c r="U168" i="11" s="1"/>
  <c r="AK266" i="11"/>
  <c r="S266" i="11" s="1"/>
  <c r="AK103" i="11"/>
  <c r="S103" i="11" s="1"/>
  <c r="AM180" i="11"/>
  <c r="U180" i="11" s="1"/>
  <c r="AF267" i="11" a="1"/>
  <c r="AF267" i="11" s="1"/>
  <c r="AF260" i="11" a="1"/>
  <c r="AF260" i="11" s="1"/>
  <c r="AF245" i="11" a="1"/>
  <c r="AF245" i="11" s="1"/>
  <c r="AF222" i="11" a="1"/>
  <c r="AF222" i="11" s="1"/>
  <c r="AF217" i="11" a="1"/>
  <c r="AF217" i="11" s="1"/>
  <c r="AF212" i="11" a="1"/>
  <c r="AF212" i="11" s="1"/>
  <c r="AF151" i="11" a="1"/>
  <c r="AF151" i="11" s="1"/>
  <c r="AF227" i="11" a="1"/>
  <c r="AF227" i="11" s="1"/>
  <c r="AF202" i="11" a="1"/>
  <c r="AF202" i="11" s="1"/>
  <c r="AF207" i="11" a="1"/>
  <c r="AF207" i="11" s="1"/>
  <c r="AF197" i="11" a="1"/>
  <c r="AF197" i="11" s="1"/>
  <c r="AF250" i="11" a="1"/>
  <c r="AF250" i="11" s="1"/>
  <c r="AF123" i="11" a="1"/>
  <c r="AF123" i="11" s="1"/>
  <c r="AF90" i="11" a="1"/>
  <c r="AF90" i="11" s="1"/>
  <c r="AF82" i="11" a="1"/>
  <c r="AF82" i="11" s="1"/>
  <c r="AF186" i="11" a="1"/>
  <c r="AF186" i="11" s="1"/>
  <c r="AF192" i="11" a="1"/>
  <c r="AF192" i="11" s="1"/>
  <c r="AF174" i="11" a="1"/>
  <c r="AF174" i="11" s="1"/>
  <c r="AF255" i="11" a="1"/>
  <c r="AF255" i="11" s="1"/>
  <c r="AF240" i="11" a="1"/>
  <c r="AF240" i="11" s="1"/>
  <c r="AF115" i="11" a="1"/>
  <c r="AF115" i="11" s="1"/>
  <c r="AF158" i="11" a="1"/>
  <c r="AF158" i="11" s="1"/>
  <c r="AF74" i="11" a="1"/>
  <c r="AF74" i="11" s="1"/>
  <c r="AF103" i="11" a="1"/>
  <c r="AF103" i="11" s="1"/>
  <c r="AF66" i="11" a="1"/>
  <c r="AF66" i="11" s="1"/>
  <c r="AF55" i="11" a="1"/>
  <c r="AF55" i="11" s="1"/>
  <c r="AF49" i="11" a="1"/>
  <c r="AF49" i="11" s="1"/>
  <c r="AF169" i="11" a="1"/>
  <c r="AF169" i="11" s="1"/>
  <c r="AF43" i="11" a="1"/>
  <c r="AF43" i="11" s="1"/>
  <c r="AF180" i="11" a="1"/>
  <c r="AF180" i="11" s="1"/>
  <c r="AF164" i="11" a="1"/>
  <c r="AF164" i="11" s="1"/>
  <c r="AE250" i="11" a="1"/>
  <c r="AE250" i="11" s="1"/>
  <c r="AE245" i="11" a="1"/>
  <c r="AE245" i="11" s="1"/>
  <c r="AE192" i="11" a="1"/>
  <c r="AE192" i="11" s="1"/>
  <c r="AE164" i="11" a="1"/>
  <c r="AE164" i="11" s="1"/>
  <c r="AE255" i="11" a="1"/>
  <c r="AE255" i="11" s="1"/>
  <c r="AE227" i="11" a="1"/>
  <c r="AE227" i="11" s="1"/>
  <c r="AE202" i="11" a="1"/>
  <c r="AE202" i="11" s="1"/>
  <c r="AE169" i="11" a="1"/>
  <c r="AE169" i="11" s="1"/>
  <c r="AE90" i="11" a="1"/>
  <c r="AE90" i="11" s="1"/>
  <c r="AE267" i="11" a="1"/>
  <c r="AE267" i="11" s="1"/>
  <c r="AE240" i="11" a="1"/>
  <c r="AE240" i="11" s="1"/>
  <c r="AE212" i="11" a="1"/>
  <c r="AE212" i="11" s="1"/>
  <c r="AE207" i="11" a="1"/>
  <c r="AE207" i="11" s="1"/>
  <c r="AE158" i="11" a="1"/>
  <c r="AE158" i="11" s="1"/>
  <c r="AE103" i="11" a="1"/>
  <c r="AE103" i="11" s="1"/>
  <c r="AE49" i="11" a="1"/>
  <c r="AE49" i="11" s="1"/>
  <c r="AE260" i="11" a="1"/>
  <c r="AE260" i="11" s="1"/>
  <c r="AE222" i="11" a="1"/>
  <c r="AE222" i="11" s="1"/>
  <c r="AE197" i="11" a="1"/>
  <c r="AE197" i="11" s="1"/>
  <c r="AE123" i="11" a="1"/>
  <c r="AE123" i="11" s="1"/>
  <c r="AE186" i="11" a="1"/>
  <c r="AE186" i="11" s="1"/>
  <c r="AE217" i="11" a="1"/>
  <c r="AE217" i="11" s="1"/>
  <c r="AE66" i="11" a="1"/>
  <c r="AE66" i="11" s="1"/>
  <c r="AE115" i="11" a="1"/>
  <c r="AE115" i="11" s="1"/>
  <c r="AE174" i="11" a="1"/>
  <c r="AE174" i="11" s="1"/>
  <c r="AE82" i="11" a="1"/>
  <c r="AE82" i="11" s="1"/>
  <c r="AE74" i="11" a="1"/>
  <c r="AE74" i="11" s="1"/>
  <c r="AE151" i="11" a="1"/>
  <c r="AE151" i="11" s="1"/>
  <c r="AE55" i="11" a="1"/>
  <c r="AE55" i="11" s="1"/>
  <c r="AE43" i="11" a="1"/>
  <c r="AE43" i="11" s="1"/>
  <c r="AE180" i="11" a="1"/>
  <c r="AE180" i="11" s="1"/>
  <c r="AF266" i="11" a="1"/>
  <c r="AF266" i="11" s="1"/>
  <c r="AF221" i="11" a="1"/>
  <c r="AF221" i="11" s="1"/>
  <c r="AF211" i="11" a="1"/>
  <c r="AF211" i="11" s="1"/>
  <c r="AF173" i="11" a="1"/>
  <c r="AF173" i="11" s="1"/>
  <c r="AF239" i="11" a="1"/>
  <c r="AF239" i="11" s="1"/>
  <c r="AF185" i="11" a="1"/>
  <c r="AF185" i="11" s="1"/>
  <c r="AF179" i="11" a="1"/>
  <c r="AF179" i="11" s="1"/>
  <c r="AF259" i="11" a="1"/>
  <c r="AF259" i="11" s="1"/>
  <c r="AF249" i="11" a="1"/>
  <c r="AF249" i="11" s="1"/>
  <c r="AF226" i="11" a="1"/>
  <c r="AF226" i="11" s="1"/>
  <c r="AF206" i="11" a="1"/>
  <c r="AF206" i="11" s="1"/>
  <c r="AF157" i="11" a="1"/>
  <c r="AF157" i="11" s="1"/>
  <c r="AF254" i="11" a="1"/>
  <c r="AF254" i="11" s="1"/>
  <c r="AF201" i="11" a="1"/>
  <c r="AF201" i="11" s="1"/>
  <c r="AF244" i="11" a="1"/>
  <c r="AF244" i="11" s="1"/>
  <c r="AF216" i="11" a="1"/>
  <c r="AF216" i="11" s="1"/>
  <c r="AF196" i="11" a="1"/>
  <c r="AF196" i="11" s="1"/>
  <c r="AF191" i="11" a="1"/>
  <c r="AF191" i="11" s="1"/>
  <c r="AF163" i="11" a="1"/>
  <c r="AF163" i="11" s="1"/>
  <c r="AF150" i="11" a="1"/>
  <c r="AF150" i="11" s="1"/>
  <c r="AF81" i="11" a="1"/>
  <c r="AF81" i="11" s="1"/>
  <c r="AF168" i="11" a="1"/>
  <c r="AF168" i="11" s="1"/>
  <c r="AF73" i="11" a="1"/>
  <c r="AF73" i="11" s="1"/>
  <c r="AF65" i="11" a="1"/>
  <c r="AF65" i="11" s="1"/>
  <c r="AF42" i="11" a="1"/>
  <c r="AF42" i="11" s="1"/>
  <c r="AF122" i="11" a="1"/>
  <c r="AF122" i="11" s="1"/>
  <c r="AF54" i="11" a="1"/>
  <c r="AF54" i="11" s="1"/>
  <c r="AF48" i="11" a="1"/>
  <c r="AF48" i="11" s="1"/>
  <c r="AF89" i="11" a="1"/>
  <c r="AF89" i="11" s="1"/>
  <c r="AF114" i="11" a="1"/>
  <c r="AF114" i="11" s="1"/>
  <c r="AF102" i="11" a="1"/>
  <c r="AF102" i="11" s="1"/>
  <c r="AC201" i="11" a="1"/>
  <c r="AC201" i="11" s="1"/>
  <c r="AC173" i="11" a="1"/>
  <c r="AC173" i="11" s="1"/>
  <c r="AC89" i="11" a="1"/>
  <c r="AC89" i="11" s="1"/>
  <c r="AC254" i="11" a="1"/>
  <c r="AC254" i="11" s="1"/>
  <c r="AC211" i="11" a="1"/>
  <c r="AC211" i="11" s="1"/>
  <c r="AC179" i="11" a="1"/>
  <c r="AC179" i="11" s="1"/>
  <c r="AC114" i="11" a="1"/>
  <c r="AC114" i="11" s="1"/>
  <c r="AC244" i="11" a="1"/>
  <c r="AC244" i="11" s="1"/>
  <c r="AC216" i="11" a="1"/>
  <c r="AC216" i="11" s="1"/>
  <c r="AC196" i="11" a="1"/>
  <c r="AC196" i="11" s="1"/>
  <c r="AC259" i="11" a="1"/>
  <c r="AC259" i="11" s="1"/>
  <c r="AC249" i="11" a="1"/>
  <c r="AC249" i="11" s="1"/>
  <c r="AC239" i="11" a="1"/>
  <c r="AC239" i="11" s="1"/>
  <c r="AC191" i="11" a="1"/>
  <c r="AC191" i="11" s="1"/>
  <c r="AC185" i="11" a="1"/>
  <c r="AC185" i="11" s="1"/>
  <c r="AC150" i="11" a="1"/>
  <c r="AC150" i="11" s="1"/>
  <c r="AC65" i="11" a="1"/>
  <c r="AC65" i="11" s="1"/>
  <c r="AC226" i="11" a="1"/>
  <c r="AC226" i="11" s="1"/>
  <c r="AC206" i="11" a="1"/>
  <c r="AC206" i="11" s="1"/>
  <c r="AC266" i="11" a="1"/>
  <c r="AC266" i="11" s="1"/>
  <c r="AC221" i="11" a="1"/>
  <c r="AC221" i="11" s="1"/>
  <c r="AC122" i="11" a="1"/>
  <c r="AC122" i="11" s="1"/>
  <c r="AC81" i="11" a="1"/>
  <c r="AC81" i="11" s="1"/>
  <c r="AC48" i="11" a="1"/>
  <c r="AC48" i="11" s="1"/>
  <c r="AC168" i="11" a="1"/>
  <c r="AC168" i="11" s="1"/>
  <c r="AC73" i="11" a="1"/>
  <c r="AC73" i="11" s="1"/>
  <c r="AC54" i="11" a="1"/>
  <c r="AC54" i="11" s="1"/>
  <c r="AC42" i="11" a="1"/>
  <c r="AC42" i="11" s="1"/>
  <c r="AC163" i="11" a="1"/>
  <c r="AC163" i="11" s="1"/>
  <c r="AC157" i="11" a="1"/>
  <c r="AC157" i="11" s="1"/>
  <c r="AC102" i="11" a="1"/>
  <c r="AC102" i="11" s="1"/>
  <c r="AD255" i="11" a="1"/>
  <c r="AD255" i="11" s="1"/>
  <c r="AD158" i="11" a="1"/>
  <c r="AD158" i="11" s="1"/>
  <c r="AD123" i="11" a="1"/>
  <c r="AD123" i="11" s="1"/>
  <c r="AD245" i="11" a="1"/>
  <c r="AD245" i="11" s="1"/>
  <c r="AD267" i="11" a="1"/>
  <c r="AD267" i="11" s="1"/>
  <c r="AD240" i="11" a="1"/>
  <c r="AD240" i="11" s="1"/>
  <c r="AD227" i="11" a="1"/>
  <c r="AD227" i="11" s="1"/>
  <c r="AD212" i="11" a="1"/>
  <c r="AD212" i="11" s="1"/>
  <c r="AD202" i="11" a="1"/>
  <c r="AD202" i="11" s="1"/>
  <c r="AD103" i="11" a="1"/>
  <c r="AD103" i="11" s="1"/>
  <c r="AD250" i="11" a="1"/>
  <c r="AD250" i="11" s="1"/>
  <c r="AD207" i="11" a="1"/>
  <c r="AD207" i="11" s="1"/>
  <c r="AD260" i="11" a="1"/>
  <c r="AD260" i="11" s="1"/>
  <c r="AD222" i="11" a="1"/>
  <c r="AD222" i="11" s="1"/>
  <c r="AD197" i="11" a="1"/>
  <c r="AD197" i="11" s="1"/>
  <c r="AD192" i="11" a="1"/>
  <c r="AD192" i="11" s="1"/>
  <c r="AD217" i="11" a="1"/>
  <c r="AD217" i="11" s="1"/>
  <c r="AD186" i="11" a="1"/>
  <c r="AD186" i="11" s="1"/>
  <c r="AD180" i="11" a="1"/>
  <c r="AD180" i="11" s="1"/>
  <c r="AD174" i="11" a="1"/>
  <c r="AD174" i="11" s="1"/>
  <c r="AD164" i="11" a="1"/>
  <c r="AD164" i="11" s="1"/>
  <c r="AD151" i="11" a="1"/>
  <c r="AD151" i="11" s="1"/>
  <c r="AD43" i="11" a="1"/>
  <c r="AD43" i="11" s="1"/>
  <c r="AD115" i="11" a="1"/>
  <c r="AD115" i="11" s="1"/>
  <c r="AD82" i="11" a="1"/>
  <c r="AD82" i="11" s="1"/>
  <c r="AD74" i="11" a="1"/>
  <c r="AD74" i="11" s="1"/>
  <c r="AD66" i="11" a="1"/>
  <c r="AD66" i="11" s="1"/>
  <c r="AD55" i="11" a="1"/>
  <c r="AD55" i="11" s="1"/>
  <c r="AD49" i="11" a="1"/>
  <c r="AD49" i="11" s="1"/>
  <c r="AD169" i="11" a="1"/>
  <c r="AD169" i="11" s="1"/>
  <c r="AD90" i="11" a="1"/>
  <c r="AD90" i="11" s="1"/>
  <c r="AC260" i="11" a="1"/>
  <c r="AC260" i="11" s="1"/>
  <c r="AC245" i="11" a="1"/>
  <c r="AC245" i="11" s="1"/>
  <c r="AC212" i="11" a="1"/>
  <c r="AC212" i="11" s="1"/>
  <c r="AC202" i="11" a="1"/>
  <c r="AC202" i="11" s="1"/>
  <c r="AC115" i="11" a="1"/>
  <c r="AC115" i="11" s="1"/>
  <c r="AC103" i="11" a="1"/>
  <c r="AC103" i="11" s="1"/>
  <c r="AC267" i="11" a="1"/>
  <c r="AC267" i="11" s="1"/>
  <c r="AC186" i="11" a="1"/>
  <c r="AC186" i="11" s="1"/>
  <c r="AC174" i="11" a="1"/>
  <c r="AC174" i="11" s="1"/>
  <c r="AC82" i="11" a="1"/>
  <c r="AC82" i="11" s="1"/>
  <c r="AC217" i="11" a="1"/>
  <c r="AC217" i="11" s="1"/>
  <c r="AC180" i="11" a="1"/>
  <c r="AC180" i="11" s="1"/>
  <c r="AC151" i="11" a="1"/>
  <c r="AC151" i="11" s="1"/>
  <c r="AC255" i="11" a="1"/>
  <c r="AC255" i="11" s="1"/>
  <c r="AC240" i="11" a="1"/>
  <c r="AC240" i="11" s="1"/>
  <c r="AC74" i="11" a="1"/>
  <c r="AC74" i="11" s="1"/>
  <c r="AC227" i="11" a="1"/>
  <c r="AC227" i="11" s="1"/>
  <c r="AC169" i="11" a="1"/>
  <c r="AC169" i="11" s="1"/>
  <c r="AC250" i="11" a="1"/>
  <c r="AC250" i="11" s="1"/>
  <c r="AC207" i="11" a="1"/>
  <c r="AC207" i="11" s="1"/>
  <c r="AC222" i="11" a="1"/>
  <c r="AC222" i="11" s="1"/>
  <c r="AC197" i="11" a="1"/>
  <c r="AC197" i="11" s="1"/>
  <c r="AC192" i="11" a="1"/>
  <c r="AC192" i="11" s="1"/>
  <c r="AC55" i="11" a="1"/>
  <c r="AC55" i="11" s="1"/>
  <c r="AC43" i="11" a="1"/>
  <c r="AC43" i="11" s="1"/>
  <c r="AC164" i="11" a="1"/>
  <c r="AC164" i="11" s="1"/>
  <c r="AC158" i="11" a="1"/>
  <c r="AC158" i="11" s="1"/>
  <c r="AC66" i="11" a="1"/>
  <c r="AC66" i="11" s="1"/>
  <c r="AC49" i="11" a="1"/>
  <c r="AC49" i="11" s="1"/>
  <c r="AC123" i="11" a="1"/>
  <c r="AC123" i="11" s="1"/>
  <c r="AC90" i="11" a="1"/>
  <c r="AC90" i="11" s="1"/>
  <c r="AG123" i="11" a="1"/>
  <c r="AG123" i="11" s="1"/>
  <c r="AG82" i="11" a="1"/>
  <c r="AG82" i="11" s="1"/>
  <c r="AG267" i="11" a="1"/>
  <c r="AG267" i="11" s="1"/>
  <c r="AG207" i="11" a="1"/>
  <c r="AG207" i="11" s="1"/>
  <c r="AG197" i="11" a="1"/>
  <c r="AG197" i="11" s="1"/>
  <c r="AG103" i="11" a="1"/>
  <c r="AG103" i="11" s="1"/>
  <c r="AG227" i="11" a="1"/>
  <c r="AG227" i="11" s="1"/>
  <c r="AG169" i="11" a="1"/>
  <c r="AG169" i="11" s="1"/>
  <c r="AG250" i="11" a="1"/>
  <c r="AG250" i="11" s="1"/>
  <c r="AG192" i="11" a="1"/>
  <c r="AG192" i="11" s="1"/>
  <c r="AG260" i="11" a="1"/>
  <c r="AG260" i="11" s="1"/>
  <c r="AG222" i="11" a="1"/>
  <c r="AG222" i="11" s="1"/>
  <c r="AG186" i="11" a="1"/>
  <c r="AG186" i="11" s="1"/>
  <c r="AG174" i="11" a="1"/>
  <c r="AG174" i="11" s="1"/>
  <c r="AG55" i="11" a="1"/>
  <c r="AG55" i="11" s="1"/>
  <c r="AG164" i="11" a="1"/>
  <c r="AG164" i="11" s="1"/>
  <c r="AG180" i="11" a="1"/>
  <c r="AG180" i="11" s="1"/>
  <c r="AG217" i="11" a="1"/>
  <c r="AG217" i="11" s="1"/>
  <c r="AG255" i="11" a="1"/>
  <c r="AG255" i="11" s="1"/>
  <c r="AG240" i="11" a="1"/>
  <c r="AG240" i="11" s="1"/>
  <c r="AG245" i="11" a="1"/>
  <c r="AG245" i="11" s="1"/>
  <c r="AG212" i="11" a="1"/>
  <c r="AG212" i="11" s="1"/>
  <c r="AG202" i="11" a="1"/>
  <c r="AG202" i="11" s="1"/>
  <c r="AG115" i="11" a="1"/>
  <c r="AG115" i="11" s="1"/>
  <c r="AG74" i="11" a="1"/>
  <c r="AG74" i="11" s="1"/>
  <c r="AG158" i="11" a="1"/>
  <c r="AG158" i="11" s="1"/>
  <c r="AG66" i="11" a="1"/>
  <c r="AG66" i="11" s="1"/>
  <c r="AG151" i="11" a="1"/>
  <c r="AG151" i="11" s="1"/>
  <c r="AG49" i="11" a="1"/>
  <c r="AG49" i="11" s="1"/>
  <c r="AG43" i="11" a="1"/>
  <c r="AG43" i="11" s="1"/>
  <c r="AG90" i="11" a="1"/>
  <c r="AG90" i="11" s="1"/>
  <c r="AG254" i="11" a="1"/>
  <c r="AG254" i="11" s="1"/>
  <c r="AG206" i="11" a="1"/>
  <c r="AG206" i="11" s="1"/>
  <c r="AG150" i="11" a="1"/>
  <c r="AG150" i="11" s="1"/>
  <c r="AG114" i="11" a="1"/>
  <c r="AG114" i="11" s="1"/>
  <c r="AG191" i="11" a="1"/>
  <c r="AG191" i="11" s="1"/>
  <c r="AG122" i="11" a="1"/>
  <c r="AG122" i="11" s="1"/>
  <c r="AG89" i="11" a="1"/>
  <c r="AG89" i="11" s="1"/>
  <c r="AG259" i="11" a="1"/>
  <c r="AG259" i="11" s="1"/>
  <c r="AG249" i="11" a="1"/>
  <c r="AG249" i="11" s="1"/>
  <c r="AG211" i="11" a="1"/>
  <c r="AG211" i="11" s="1"/>
  <c r="AG226" i="11" a="1"/>
  <c r="AG226" i="11" s="1"/>
  <c r="AG81" i="11" a="1"/>
  <c r="AG81" i="11" s="1"/>
  <c r="AG48" i="11" a="1"/>
  <c r="AG48" i="11" s="1"/>
  <c r="AG221" i="11" a="1"/>
  <c r="AG221" i="11" s="1"/>
  <c r="AG201" i="11" a="1"/>
  <c r="AG201" i="11" s="1"/>
  <c r="AG266" i="11" a="1"/>
  <c r="AG266" i="11" s="1"/>
  <c r="AG244" i="11" a="1"/>
  <c r="AG244" i="11" s="1"/>
  <c r="AG216" i="11" a="1"/>
  <c r="AG216" i="11" s="1"/>
  <c r="AG196" i="11" a="1"/>
  <c r="AG196" i="11" s="1"/>
  <c r="AG239" i="11" a="1"/>
  <c r="AG239" i="11" s="1"/>
  <c r="AG179" i="11" a="1"/>
  <c r="AG179" i="11" s="1"/>
  <c r="AG65" i="11" a="1"/>
  <c r="AG65" i="11" s="1"/>
  <c r="AG168" i="11" a="1"/>
  <c r="AG168" i="11" s="1"/>
  <c r="AG73" i="11" a="1"/>
  <c r="AG73" i="11" s="1"/>
  <c r="AG54" i="11" a="1"/>
  <c r="AG54" i="11" s="1"/>
  <c r="AG163" i="11" a="1"/>
  <c r="AG163" i="11" s="1"/>
  <c r="AG157" i="11" a="1"/>
  <c r="AG157" i="11" s="1"/>
  <c r="AG173" i="11" a="1"/>
  <c r="AG173" i="11" s="1"/>
  <c r="AG102" i="11" a="1"/>
  <c r="AG102" i="11" s="1"/>
  <c r="AG185" i="11" a="1"/>
  <c r="AG185" i="11" s="1"/>
  <c r="AG42" i="11" a="1"/>
  <c r="AG42" i="11" s="1"/>
  <c r="AD254" i="11" a="1"/>
  <c r="AD254" i="11" s="1"/>
  <c r="AD157" i="11" a="1"/>
  <c r="AD157" i="11" s="1"/>
  <c r="AD122" i="11" a="1"/>
  <c r="AD122" i="11" s="1"/>
  <c r="AD259" i="11" a="1"/>
  <c r="AD259" i="11" s="1"/>
  <c r="AD249" i="11" a="1"/>
  <c r="AD249" i="11" s="1"/>
  <c r="AD206" i="11" a="1"/>
  <c r="AD206" i="11" s="1"/>
  <c r="AD216" i="11" a="1"/>
  <c r="AD216" i="11" s="1"/>
  <c r="AD201" i="11" a="1"/>
  <c r="AD201" i="11" s="1"/>
  <c r="AD196" i="11" a="1"/>
  <c r="AD196" i="11" s="1"/>
  <c r="AD163" i="11" a="1"/>
  <c r="AD163" i="11" s="1"/>
  <c r="AD239" i="11" a="1"/>
  <c r="AD239" i="11" s="1"/>
  <c r="AD191" i="11" a="1"/>
  <c r="AD191" i="11" s="1"/>
  <c r="AD211" i="11" a="1"/>
  <c r="AD211" i="11" s="1"/>
  <c r="AD226" i="11" a="1"/>
  <c r="AD226" i="11" s="1"/>
  <c r="AD179" i="11" a="1"/>
  <c r="AD179" i="11" s="1"/>
  <c r="AD114" i="11" a="1"/>
  <c r="AD114" i="11" s="1"/>
  <c r="AD102" i="11" a="1"/>
  <c r="AD102" i="11" s="1"/>
  <c r="AD168" i="11" a="1"/>
  <c r="AD168" i="11" s="1"/>
  <c r="AD266" i="11" a="1"/>
  <c r="AD266" i="11" s="1"/>
  <c r="AD221" i="11" a="1"/>
  <c r="AD221" i="11" s="1"/>
  <c r="AD244" i="11" a="1"/>
  <c r="AD244" i="11" s="1"/>
  <c r="AD173" i="11" a="1"/>
  <c r="AD173" i="11" s="1"/>
  <c r="AD185" i="11" a="1"/>
  <c r="AD185" i="11" s="1"/>
  <c r="AD150" i="11" a="1"/>
  <c r="AD150" i="11" s="1"/>
  <c r="AD81" i="11" a="1"/>
  <c r="AD81" i="11" s="1"/>
  <c r="AD73" i="11" a="1"/>
  <c r="AD73" i="11" s="1"/>
  <c r="AD42" i="11" a="1"/>
  <c r="AD42" i="11" s="1"/>
  <c r="AD65" i="11" a="1"/>
  <c r="AD65" i="11" s="1"/>
  <c r="AD54" i="11" a="1"/>
  <c r="AD54" i="11" s="1"/>
  <c r="AD89" i="11" a="1"/>
  <c r="AD89" i="11" s="1"/>
  <c r="AD48" i="11" a="1"/>
  <c r="AD48" i="11" s="1"/>
  <c r="AE259" i="11" a="1"/>
  <c r="AE259" i="11" s="1"/>
  <c r="AE249" i="11" a="1"/>
  <c r="AE249" i="11" s="1"/>
  <c r="AE244" i="11" a="1"/>
  <c r="AE244" i="11" s="1"/>
  <c r="AE239" i="11" a="1"/>
  <c r="AE239" i="11" s="1"/>
  <c r="AE226" i="11" a="1"/>
  <c r="AE226" i="11" s="1"/>
  <c r="AE185" i="11" a="1"/>
  <c r="AE185" i="11" s="1"/>
  <c r="AE102" i="11" a="1"/>
  <c r="AE102" i="11" s="1"/>
  <c r="AE266" i="11" a="1"/>
  <c r="AE266" i="11" s="1"/>
  <c r="AE163" i="11" a="1"/>
  <c r="AE163" i="11" s="1"/>
  <c r="AE211" i="11" a="1"/>
  <c r="AE211" i="11" s="1"/>
  <c r="AE168" i="11" a="1"/>
  <c r="AE168" i="11" s="1"/>
  <c r="AE89" i="11" a="1"/>
  <c r="AE89" i="11" s="1"/>
  <c r="AE73" i="11" a="1"/>
  <c r="AE73" i="11" s="1"/>
  <c r="AE42" i="11" a="1"/>
  <c r="AE42" i="11" s="1"/>
  <c r="AE157" i="11" a="1"/>
  <c r="AE157" i="11" s="1"/>
  <c r="AE254" i="11" a="1"/>
  <c r="AE254" i="11" s="1"/>
  <c r="AE221" i="11" a="1"/>
  <c r="AE221" i="11" s="1"/>
  <c r="AE206" i="11" a="1"/>
  <c r="AE206" i="11" s="1"/>
  <c r="AE201" i="11" a="1"/>
  <c r="AE201" i="11" s="1"/>
  <c r="AE216" i="11" a="1"/>
  <c r="AE216" i="11" s="1"/>
  <c r="AE196" i="11" a="1"/>
  <c r="AE196" i="11" s="1"/>
  <c r="AE54" i="11" a="1"/>
  <c r="AE54" i="11" s="1"/>
  <c r="AE191" i="11" a="1"/>
  <c r="AE191" i="11" s="1"/>
  <c r="AE150" i="11" a="1"/>
  <c r="AE150" i="11" s="1"/>
  <c r="AE81" i="11" a="1"/>
  <c r="AE81" i="11" s="1"/>
  <c r="AE65" i="11" a="1"/>
  <c r="AE65" i="11" s="1"/>
  <c r="AE122" i="11" a="1"/>
  <c r="AE122" i="11" s="1"/>
  <c r="AE48" i="11" a="1"/>
  <c r="AE48" i="11" s="1"/>
  <c r="AE179" i="11" a="1"/>
  <c r="AE179" i="11" s="1"/>
  <c r="AE114" i="11" a="1"/>
  <c r="AE114" i="11" s="1"/>
  <c r="AE173" i="11" a="1"/>
  <c r="AE173" i="11" s="1"/>
  <c r="K52" i="10"/>
  <c r="M52" i="10"/>
  <c r="J52" i="10"/>
  <c r="S17" i="11"/>
  <c r="I27" i="10"/>
  <c r="K51" i="10"/>
  <c r="M51" i="10"/>
  <c r="J51" i="10"/>
  <c r="K55" i="10"/>
  <c r="K27" i="10"/>
  <c r="K42" i="10"/>
  <c r="M65" i="10"/>
  <c r="K63" i="10"/>
  <c r="K59" i="10"/>
  <c r="M42" i="10"/>
  <c r="K56" i="10"/>
  <c r="K54" i="10"/>
  <c r="L78" i="10"/>
  <c r="J79" i="10"/>
  <c r="J56" i="10"/>
  <c r="J65" i="10"/>
  <c r="K80" i="10"/>
  <c r="M77" i="10"/>
  <c r="L60" i="10"/>
  <c r="L63" i="10"/>
  <c r="K61" i="10"/>
  <c r="K58" i="10"/>
  <c r="M54" i="10"/>
  <c r="M55" i="10"/>
  <c r="K65" i="10"/>
  <c r="M79" i="10"/>
  <c r="K64" i="10"/>
  <c r="K57" i="10"/>
  <c r="M63" i="10"/>
  <c r="L42" i="10"/>
  <c r="K48" i="10"/>
  <c r="J48" i="10"/>
  <c r="J76" i="10"/>
  <c r="I51" i="10"/>
  <c r="I64" i="10"/>
  <c r="I57" i="10"/>
  <c r="I62" i="10"/>
  <c r="L48" i="10"/>
  <c r="L76" i="10"/>
  <c r="K76" i="10"/>
  <c r="I77" i="10"/>
  <c r="I52" i="10"/>
  <c r="I78" i="10"/>
  <c r="I61" i="10"/>
  <c r="I48" i="10"/>
  <c r="I76" i="10"/>
  <c r="I59" i="10"/>
  <c r="I56" i="10"/>
  <c r="I42" i="10"/>
  <c r="I65" i="10"/>
  <c r="I54" i="10"/>
  <c r="I80" i="10"/>
  <c r="M48" i="10"/>
  <c r="M76" i="10"/>
  <c r="I63" i="10"/>
  <c r="I55" i="10"/>
  <c r="I60" i="10"/>
  <c r="I53" i="10"/>
  <c r="I79" i="10"/>
  <c r="I58" i="10"/>
  <c r="I83" i="10"/>
  <c r="L25" i="10"/>
  <c r="M26" i="10"/>
  <c r="M25" i="10"/>
  <c r="L26" i="10"/>
  <c r="J25" i="10"/>
  <c r="J29" i="10" s="1"/>
  <c r="K25" i="10"/>
  <c r="R4" i="10"/>
  <c r="R16" i="10" s="1"/>
  <c r="K4" i="10"/>
  <c r="K16" i="10" s="1"/>
  <c r="O4" i="10"/>
  <c r="O16" i="10" s="1"/>
  <c r="J4" i="10"/>
  <c r="J16" i="10" s="1"/>
  <c r="S4" i="10"/>
  <c r="S16" i="10" s="1"/>
  <c r="L4" i="10"/>
  <c r="L16" i="10" s="1"/>
  <c r="Q4" i="10"/>
  <c r="Q16" i="10" s="1"/>
  <c r="M4" i="10"/>
  <c r="M16" i="10" s="1"/>
  <c r="N4" i="10"/>
  <c r="N16" i="10" s="1"/>
  <c r="I4" i="10"/>
  <c r="I16" i="10" s="1"/>
  <c r="I26" i="10"/>
  <c r="P4" i="10"/>
  <c r="P16" i="10" s="1"/>
  <c r="T4" i="10"/>
  <c r="T16" i="10" s="1"/>
  <c r="AI139" i="11" a="1"/>
  <c r="AH139" i="11" a="1"/>
  <c r="AH245" i="11" a="1"/>
  <c r="AH151" i="11" a="1"/>
  <c r="AH174" i="11" a="1"/>
  <c r="AH180" i="11" a="1"/>
  <c r="AI255" i="11" a="1"/>
  <c r="AI267" i="11" a="1"/>
  <c r="AI66" i="11" a="1"/>
  <c r="AI82" i="11" a="1"/>
  <c r="AH249" i="11" a="1"/>
  <c r="AH196" i="11" a="1"/>
  <c r="AH211" i="11" a="1"/>
  <c r="AH42" i="11" a="1"/>
  <c r="AJ114" i="11" a="1"/>
  <c r="AJ185" i="11" a="1"/>
  <c r="AJ168" i="11" a="1"/>
  <c r="AJ73" i="11" a="1"/>
  <c r="AJ115" i="11" a="1"/>
  <c r="AJ245" i="11" a="1"/>
  <c r="AJ151" i="11" a="1"/>
  <c r="AJ55" i="11" a="1"/>
  <c r="AI163" i="11" a="1"/>
  <c r="AI211" i="11" a="1"/>
  <c r="AI54" i="11" a="1"/>
  <c r="AI114" i="11" a="1"/>
  <c r="AH74" i="11" a="1"/>
  <c r="AI123" i="11" a="1"/>
  <c r="AJ259" i="11" a="1"/>
  <c r="AJ82" i="11" a="1"/>
  <c r="AI89" i="11" a="1"/>
  <c r="AH128" i="11" a="1"/>
  <c r="AH66" i="11" a="1"/>
  <c r="AI164" i="11" a="1"/>
  <c r="AH239" i="11" a="1"/>
  <c r="AJ81" i="11" a="1"/>
  <c r="AI216" i="11" a="1"/>
  <c r="AH129" i="11" a="1"/>
  <c r="AH267" i="11" a="1"/>
  <c r="AH217" i="11" a="1"/>
  <c r="AH103" i="11" a="1"/>
  <c r="AH123" i="11" a="1"/>
  <c r="AI250" i="11" a="1"/>
  <c r="AI180" i="11" a="1"/>
  <c r="AI202" i="11" a="1"/>
  <c r="AI55" i="11" a="1"/>
  <c r="AH254" i="11" a="1"/>
  <c r="AH173" i="11" a="1"/>
  <c r="AH114" i="11" a="1"/>
  <c r="AH185" i="11" a="1"/>
  <c r="AJ201" i="11" a="1"/>
  <c r="AJ179" i="11" a="1"/>
  <c r="AJ157" i="11" a="1"/>
  <c r="AJ65" i="11" a="1"/>
  <c r="AJ267" i="11" a="1"/>
  <c r="AJ227" i="11" a="1"/>
  <c r="AJ169" i="11" a="1"/>
  <c r="AJ49" i="11" a="1"/>
  <c r="AI259" i="11" a="1"/>
  <c r="AI168" i="11" a="1"/>
  <c r="AI185" i="11" a="1"/>
  <c r="AI42" i="11" a="1"/>
  <c r="AH255" i="11" a="1"/>
  <c r="AI90" i="11" a="1"/>
  <c r="AH191" i="11" a="1"/>
  <c r="AJ191" i="11" a="1"/>
  <c r="AJ240" i="11" a="1"/>
  <c r="AI128" i="11" a="1"/>
  <c r="AH90" i="11" a="1"/>
  <c r="AI103" i="11" a="1"/>
  <c r="AJ249" i="11" a="1"/>
  <c r="AJ66" i="11" a="1"/>
  <c r="AH140" i="11" a="1"/>
  <c r="AI134" i="11" a="1"/>
  <c r="AH133" i="11" a="1"/>
  <c r="AJ133" i="11" a="1"/>
  <c r="AH164" i="11" a="1"/>
  <c r="AH240" i="11" a="1"/>
  <c r="AH82" i="11" a="1"/>
  <c r="AH115" i="11" a="1"/>
  <c r="AI245" i="11" a="1"/>
  <c r="AI174" i="11" a="1"/>
  <c r="AI212" i="11" a="1"/>
  <c r="AI186" i="11" a="1"/>
  <c r="AH157" i="11" a="1"/>
  <c r="AH122" i="11" a="1"/>
  <c r="AH54" i="11" a="1"/>
  <c r="AH150" i="11" a="1"/>
  <c r="AJ221" i="11" a="1"/>
  <c r="AJ163" i="11" a="1"/>
  <c r="AJ102" i="11" a="1"/>
  <c r="AJ54" i="11" a="1"/>
  <c r="AJ123" i="11" a="1"/>
  <c r="AJ197" i="11" a="1"/>
  <c r="AJ90" i="11" a="1"/>
  <c r="AJ43" i="11" a="1"/>
  <c r="AI249" i="11" a="1"/>
  <c r="AI102" i="11" a="1"/>
  <c r="AI150" i="11" a="1"/>
  <c r="AI81" i="11" a="1"/>
  <c r="AI74" i="11" a="1"/>
  <c r="AJ158" i="11" a="1"/>
  <c r="AH201" i="11" a="1"/>
  <c r="AJ255" i="11" a="1"/>
  <c r="AI179" i="11" a="1"/>
  <c r="AI145" i="11" a="1"/>
  <c r="AH144" i="11" a="1"/>
  <c r="AJ144" i="11" a="1"/>
  <c r="AH207" i="11" a="1"/>
  <c r="AH212" i="11" a="1"/>
  <c r="AH55" i="11" a="1"/>
  <c r="AI240" i="11" a="1"/>
  <c r="AI207" i="11" a="1"/>
  <c r="AI197" i="11" a="1"/>
  <c r="AI43" i="11" a="1"/>
  <c r="AH226" i="11" a="1"/>
  <c r="AH266" i="11" a="1"/>
  <c r="AH48" i="11" a="1"/>
  <c r="AH81" i="11" a="1"/>
  <c r="AJ254" i="11" a="1"/>
  <c r="AJ239" i="11" a="1"/>
  <c r="AJ89" i="11" a="1"/>
  <c r="AJ48" i="11" a="1"/>
  <c r="AJ250" i="11" a="1"/>
  <c r="AJ207" i="11" a="1"/>
  <c r="AJ180" i="11" a="1"/>
  <c r="AI244" i="11" a="1"/>
  <c r="AI157" i="11" a="1"/>
  <c r="AI73" i="11" a="1"/>
  <c r="AI65" i="11" a="1"/>
  <c r="AI140" i="11" a="1"/>
  <c r="AJ139" i="11" a="1"/>
  <c r="AH43" i="11" a="1"/>
  <c r="AI217" i="11" a="1"/>
  <c r="AJ173" i="11" a="1"/>
  <c r="AI196" i="11" a="1"/>
  <c r="AI133" i="11" a="1"/>
  <c r="AH134" i="11" a="1"/>
  <c r="AH169" i="11" a="1"/>
  <c r="AH197" i="11" a="1"/>
  <c r="AH202" i="11" a="1"/>
  <c r="AH49" i="11" a="1"/>
  <c r="AI227" i="11" a="1"/>
  <c r="AI192" i="11" a="1"/>
  <c r="AI49" i="11" a="1"/>
  <c r="AI169" i="11" a="1"/>
  <c r="AH168" i="11" a="1"/>
  <c r="AH244" i="11" a="1"/>
  <c r="AH163" i="11" a="1"/>
  <c r="AH73" i="11" a="1"/>
  <c r="AJ216" i="11" a="1"/>
  <c r="AJ211" i="11" a="1"/>
  <c r="AJ122" i="11" a="1"/>
  <c r="AJ260" i="11" a="1"/>
  <c r="AJ174" i="11" a="1"/>
  <c r="AJ192" i="11" a="1"/>
  <c r="AJ164" i="11" a="1"/>
  <c r="AI239" i="11" a="1"/>
  <c r="AI206" i="11" a="1"/>
  <c r="AI48" i="11" a="1"/>
  <c r="AI254" i="11" a="1"/>
  <c r="AJ145" i="11" a="1"/>
  <c r="AH222" i="11" a="1"/>
  <c r="AI260" i="11" a="1"/>
  <c r="AH102" i="11" a="1"/>
  <c r="AJ150" i="11" a="1"/>
  <c r="AJ212" i="11" a="1"/>
  <c r="AI191" i="11" a="1"/>
  <c r="AI129" i="11" a="1"/>
  <c r="AJ129" i="11" a="1"/>
  <c r="AJ128" i="11" a="1"/>
  <c r="AI144" i="11" a="1"/>
  <c r="AH145" i="11" a="1"/>
  <c r="AH158" i="11" a="1"/>
  <c r="AH192" i="11" a="1"/>
  <c r="AH227" i="11" a="1"/>
  <c r="AH186" i="11" a="1"/>
  <c r="AI151" i="11" a="1"/>
  <c r="AI222" i="11" a="1"/>
  <c r="AI158" i="11" a="1"/>
  <c r="AI115" i="11" a="1"/>
  <c r="AH221" i="11" a="1"/>
  <c r="AH216" i="11" a="1"/>
  <c r="AH89" i="11" a="1"/>
  <c r="AH65" i="11" a="1"/>
  <c r="AJ266" i="11" a="1"/>
  <c r="AJ196" i="11" a="1"/>
  <c r="AJ226" i="11" a="1"/>
  <c r="AJ42" i="11" a="1"/>
  <c r="AJ222" i="11" a="1"/>
  <c r="AJ202" i="11" a="1"/>
  <c r="AJ186" i="11" a="1"/>
  <c r="AJ74" i="11" a="1"/>
  <c r="AI266" i="11" a="1"/>
  <c r="AI226" i="11" a="1"/>
  <c r="AI201" i="11" a="1"/>
  <c r="AI122" i="11" a="1"/>
  <c r="AJ140" i="11" a="1"/>
  <c r="AJ134" i="11" a="1"/>
  <c r="AH260" i="11" a="1"/>
  <c r="AH206" i="11" a="1"/>
  <c r="AH179" i="11" a="1"/>
  <c r="AJ206" i="11" a="1"/>
  <c r="AJ217" i="11" a="1"/>
  <c r="AI221" i="11" a="1"/>
  <c r="AH250" i="11" a="1"/>
  <c r="AH259" i="11" a="1"/>
  <c r="AJ244" i="11" a="1"/>
  <c r="AJ103" i="11" a="1"/>
  <c r="AI173" i="11" a="1"/>
  <c r="S19" i="11" a="1"/>
  <c r="R19" i="11" a="1"/>
  <c r="AM186" i="11" a="1"/>
  <c r="AM129" i="11" a="1"/>
  <c r="AN259" i="11" a="1"/>
  <c r="AL254" i="11" a="1"/>
  <c r="AL164" i="11" a="1"/>
  <c r="AK49" i="11" a="1"/>
  <c r="AL196" i="11" a="1"/>
  <c r="AK227" i="11" a="1"/>
  <c r="AL255" i="11" a="1"/>
  <c r="AN140" i="11" a="1"/>
  <c r="AL169" i="11" a="1"/>
  <c r="AL82" i="11" a="1"/>
  <c r="AL66" i="11" a="1"/>
  <c r="AN43" i="11" a="1"/>
  <c r="AK74" i="11" a="1"/>
  <c r="AN49" i="11" a="1"/>
  <c r="AL206" i="11" a="1"/>
  <c r="AL54" i="11" a="1"/>
  <c r="AL226" i="11" a="1"/>
  <c r="AN180" i="11" a="1"/>
  <c r="AK202" i="11" a="1"/>
  <c r="AL180" i="11" a="1"/>
  <c r="AL157" i="11" a="1"/>
  <c r="AN150" i="11" a="1"/>
  <c r="AM267" i="11" a="1"/>
  <c r="AN239" i="11" a="1"/>
  <c r="AK73" i="11" a="1"/>
  <c r="AM89" i="11" a="1"/>
  <c r="AK139" i="11" a="1"/>
  <c r="AN191" i="11" a="1"/>
  <c r="AN201" i="11" a="1"/>
  <c r="AN227" i="11" a="1"/>
  <c r="AN186" i="11" a="1"/>
  <c r="AK245" i="11" a="1"/>
  <c r="AN73" i="11" a="1"/>
  <c r="AK89" i="11" a="1"/>
  <c r="AK255" i="11" a="1"/>
  <c r="AL103" i="11" a="1"/>
  <c r="AL128" i="11" a="1"/>
  <c r="AM202" i="11" a="1"/>
  <c r="AN139" i="11" a="1"/>
  <c r="AM115" i="11" a="1"/>
  <c r="AK196" i="11" a="1"/>
  <c r="AK43" i="11" a="1"/>
  <c r="AL42" i="11" a="1"/>
  <c r="AL49" i="11" a="1"/>
  <c r="AN226" i="11" a="1"/>
  <c r="AK259" i="11" a="1"/>
  <c r="AL207" i="11" a="1"/>
  <c r="AL168" i="11" a="1"/>
  <c r="AK173" i="11" a="1"/>
  <c r="AM66" i="11" a="1"/>
  <c r="AK145" i="11" a="1"/>
  <c r="AL211" i="11" a="1"/>
  <c r="AN249" i="11" a="1"/>
  <c r="AM145" i="11" a="1"/>
  <c r="AM55" i="11" a="1"/>
  <c r="AM196" i="11" a="1"/>
  <c r="AL227" i="11" a="1"/>
  <c r="AN266" i="11" a="1"/>
  <c r="AL139" i="11" a="1"/>
  <c r="AM207" i="11" a="1"/>
  <c r="AM260" i="11" a="1"/>
  <c r="AL158" i="11" a="1"/>
  <c r="AK133" i="11" a="1"/>
  <c r="AL202" i="11" a="1"/>
  <c r="AK217" i="11" a="1"/>
  <c r="AN89" i="11" a="1"/>
  <c r="AK169" i="11" a="1"/>
  <c r="AL173" i="11" a="1"/>
  <c r="AN82" i="11" a="1"/>
  <c r="AL192" i="11" a="1"/>
  <c r="AM249" i="11" a="1"/>
  <c r="AN168" i="11" a="1"/>
  <c r="AM133" i="11" a="1"/>
  <c r="AM192" i="11" a="1"/>
  <c r="AK90" i="11" a="1"/>
  <c r="AN240" i="11" a="1"/>
  <c r="AL102" i="11" a="1"/>
  <c r="AL73" i="11" a="1"/>
  <c r="AM81" i="11" a="1"/>
  <c r="AN254" i="11" a="1"/>
  <c r="AL212" i="11" a="1"/>
  <c r="AN197" i="11" a="1"/>
  <c r="AM191" i="11" a="1"/>
  <c r="AM239" i="11" a="1"/>
  <c r="AM82" i="11" a="1"/>
  <c r="AK197" i="11" a="1"/>
  <c r="AK250" i="11" a="1"/>
  <c r="AM43" i="11" a="1"/>
  <c r="AL151" i="11" a="1"/>
  <c r="AL259" i="11" a="1"/>
  <c r="AL90" i="11" a="1"/>
  <c r="AK163" i="11" a="1"/>
  <c r="AN122" i="11" a="1"/>
  <c r="AK201" i="11" a="1"/>
  <c r="AN196" i="11" a="1"/>
  <c r="AL150" i="11" a="1"/>
  <c r="AL140" i="11" a="1"/>
  <c r="AK66" i="11" a="1"/>
  <c r="AN164" i="11" a="1"/>
  <c r="AL133" i="11" a="1"/>
  <c r="AN123" i="11" a="1"/>
  <c r="AK164" i="11" a="1"/>
  <c r="AL266" i="11" a="1"/>
  <c r="AM173" i="11" a="1"/>
  <c r="AL201" i="11" a="1"/>
  <c r="AN244" i="11" a="1"/>
  <c r="AM255" i="11" a="1"/>
  <c r="AL260" i="11" a="1"/>
  <c r="AK102" i="11" a="1"/>
  <c r="AM254" i="11" a="1"/>
  <c r="AK249" i="11" a="1"/>
  <c r="AM206" i="11" a="1"/>
  <c r="AN145" i="11" a="1"/>
  <c r="AM221" i="11" a="1"/>
  <c r="AL186" i="11" a="1"/>
  <c r="AL123" i="11" a="1"/>
  <c r="AK254" i="11" a="1"/>
  <c r="AM102" i="11" a="1"/>
  <c r="AN158" i="11" a="1"/>
  <c r="AM90" i="11" a="1"/>
  <c r="AN250" i="11" a="1"/>
  <c r="AK192" i="11" a="1"/>
  <c r="AN66" i="11" a="1"/>
  <c r="AL197" i="11" a="1"/>
  <c r="AM73" i="11" a="1"/>
  <c r="AL74" i="11" a="1"/>
  <c r="AM134" i="11" a="1"/>
  <c r="AL115" i="11" a="1"/>
  <c r="AK267" i="11" a="1"/>
  <c r="AM122" i="11" a="1"/>
  <c r="AM266" i="11" a="1"/>
  <c r="AN163" i="11" a="1"/>
  <c r="AK151" i="11" a="1"/>
  <c r="AM245" i="11" a="1"/>
  <c r="AN103" i="11" a="1"/>
  <c r="AM226" i="11" a="1"/>
  <c r="AN81" i="11" a="1"/>
  <c r="AN102" i="11" a="1"/>
  <c r="AN211" i="11" a="1"/>
  <c r="AL267" i="11" a="1"/>
  <c r="AK114" i="11" a="1"/>
  <c r="AN115" i="11" a="1"/>
  <c r="AM144" i="11" a="1"/>
  <c r="AM49" i="11" a="1"/>
  <c r="AN222" i="11" a="1"/>
  <c r="AN90" i="11" a="1"/>
  <c r="AL163" i="11" a="1"/>
  <c r="AM65" i="11" a="1"/>
  <c r="AM42" i="11" a="1"/>
  <c r="AL144" i="11" a="1"/>
  <c r="AK158" i="11" a="1"/>
  <c r="AK115" i="11" a="1"/>
  <c r="AN255" i="11" a="1"/>
  <c r="AL245" i="11" a="1"/>
  <c r="AK179" i="11" a="1"/>
  <c r="AM169" i="11" a="1"/>
  <c r="AN65" i="11" a="1"/>
  <c r="AK123" i="11" a="1"/>
  <c r="AM201" i="11" a="1"/>
  <c r="AM163" i="11" a="1"/>
  <c r="AM103" i="11" a="1"/>
  <c r="AN133" i="11" a="1"/>
  <c r="AL222" i="11" a="1"/>
  <c r="AL249" i="11" a="1"/>
  <c r="AM227" i="11" a="1"/>
  <c r="AK211" i="11" a="1"/>
  <c r="AL122" i="11" a="1"/>
  <c r="AM158" i="11" a="1"/>
  <c r="AM140" i="11" a="1"/>
  <c r="AM217" i="11" a="1"/>
  <c r="AM211" i="11" a="1"/>
  <c r="AM139" i="11" a="1"/>
  <c r="AL134" i="11" a="1"/>
  <c r="AK216" i="11" a="1"/>
  <c r="AN151" i="11" a="1"/>
  <c r="AL250" i="11" a="1"/>
  <c r="AK174" i="11" a="1"/>
  <c r="AK191" i="11" a="1"/>
  <c r="AK212" i="11" a="1"/>
  <c r="AM114" i="11" a="1"/>
  <c r="AN128" i="11" a="1"/>
  <c r="AM222" i="11" a="1"/>
  <c r="AM240" i="11" a="1"/>
  <c r="AN54" i="11" a="1"/>
  <c r="AK206" i="11" a="1"/>
  <c r="AM179" i="11" a="1"/>
  <c r="AN202" i="11" a="1"/>
  <c r="AL240" i="11" a="1"/>
  <c r="AM174" i="11" a="1"/>
  <c r="AK244" i="11" a="1"/>
  <c r="AN260" i="11" a="1"/>
  <c r="AN157" i="11" a="1"/>
  <c r="AN185" i="11" a="1"/>
  <c r="AK260" i="11" a="1"/>
  <c r="AK185" i="11" a="1"/>
  <c r="AM151" i="11" a="1"/>
  <c r="AL244" i="11" a="1"/>
  <c r="AL43" i="11" a="1"/>
  <c r="AN207" i="11" a="1"/>
  <c r="AK168" i="11" a="1"/>
  <c r="AL65" i="11" a="1"/>
  <c r="AM54" i="11" a="1"/>
  <c r="AK239" i="11" a="1"/>
  <c r="AM48" i="11" a="1"/>
  <c r="AL81" i="11" a="1"/>
  <c r="AL185" i="11" a="1"/>
  <c r="AN74" i="11" a="1"/>
  <c r="AN55" i="11" a="1"/>
  <c r="AN212" i="11" a="1"/>
  <c r="AL221" i="11" a="1"/>
  <c r="AM197" i="11" a="1"/>
  <c r="AM212" i="11" a="1"/>
  <c r="AK55" i="11" a="1"/>
  <c r="AL145" i="11" a="1"/>
  <c r="AK207" i="11" a="1"/>
  <c r="AN221" i="11" a="1"/>
  <c r="AK54" i="11" a="1"/>
  <c r="AL174" i="11" a="1"/>
  <c r="AK81" i="11" a="1"/>
  <c r="AM150" i="11" a="1"/>
  <c r="AM128" i="11" a="1"/>
  <c r="AK240" i="11" a="1"/>
  <c r="AN144" i="11" a="1"/>
  <c r="AL179" i="11" a="1"/>
  <c r="AN216" i="11" a="1"/>
  <c r="AL89" i="11" a="1"/>
  <c r="AL129" i="11" a="1"/>
  <c r="AL114" i="11" a="1"/>
  <c r="AL239" i="11" a="1"/>
  <c r="AL191" i="11" a="1"/>
  <c r="AM216" i="11" a="1"/>
  <c r="AN169" i="11" a="1"/>
  <c r="AK129" i="11" a="1"/>
  <c r="AK65" i="11" a="1"/>
  <c r="AM259" i="11" a="1"/>
  <c r="AM250" i="11" a="1"/>
  <c r="AN245" i="11" a="1"/>
  <c r="AK226" i="11" a="1"/>
  <c r="AN114" i="11" a="1"/>
  <c r="AK186" i="11" a="1"/>
  <c r="AN267" i="11" a="1"/>
  <c r="AK157" i="11" a="1"/>
  <c r="AM157" i="11" a="1"/>
  <c r="AL216" i="11" a="1"/>
  <c r="AM185" i="11" a="1"/>
  <c r="AK122" i="11" a="1"/>
  <c r="AN129" i="11" a="1"/>
  <c r="AN48" i="11" a="1"/>
  <c r="AN134" i="11" a="1"/>
  <c r="AN206" i="11" a="1"/>
  <c r="AM123" i="11" a="1"/>
  <c r="AK222" i="11" a="1"/>
  <c r="AN217" i="11" a="1"/>
  <c r="AK221" i="11" a="1"/>
  <c r="AK82" i="11" a="1"/>
  <c r="AM74" i="11" a="1"/>
  <c r="AL55" i="11" a="1"/>
  <c r="AK140" i="11" a="1"/>
  <c r="AK150" i="11" a="1"/>
  <c r="AN192" i="11" a="1"/>
  <c r="AN173" i="11" a="1"/>
  <c r="AK128" i="11" a="1"/>
  <c r="AK134" i="11" a="1"/>
  <c r="AM164" i="11" a="1"/>
  <c r="AN179" i="11" a="1"/>
  <c r="AM244" i="11" a="1"/>
  <c r="AK180" i="11" a="1"/>
  <c r="O88" i="11" l="1"/>
  <c r="O182" i="11"/>
  <c r="L96" i="11"/>
  <c r="O57" i="11"/>
  <c r="O69" i="11"/>
  <c r="O77" i="11"/>
  <c r="O98" i="11"/>
  <c r="O99" i="11" s="1"/>
  <c r="O85" i="11"/>
  <c r="O45" i="11"/>
  <c r="O176" i="11"/>
  <c r="S42" i="11"/>
  <c r="O64" i="11"/>
  <c r="O80" i="11"/>
  <c r="O72" i="11"/>
  <c r="O106" i="11"/>
  <c r="O96" i="11"/>
  <c r="Q51" i="11"/>
  <c r="Q69" i="11"/>
  <c r="Q93" i="11"/>
  <c r="Q98" i="11"/>
  <c r="Q106" i="11" s="1"/>
  <c r="Q85" i="11"/>
  <c r="Q45" i="11"/>
  <c r="Q57" i="11"/>
  <c r="Q96" i="11"/>
  <c r="Q77" i="11"/>
  <c r="Q182" i="11"/>
  <c r="Q176" i="11"/>
  <c r="Q188" i="11"/>
  <c r="Q64" i="11"/>
  <c r="Q72" i="11"/>
  <c r="Q80" i="11"/>
  <c r="Q88" i="11"/>
  <c r="M45" i="11"/>
  <c r="M57" i="11"/>
  <c r="M96" i="11"/>
  <c r="M51" i="11"/>
  <c r="M69" i="11"/>
  <c r="M93" i="11"/>
  <c r="M98" i="11"/>
  <c r="M106" i="11" s="1"/>
  <c r="M176" i="11"/>
  <c r="M188" i="11"/>
  <c r="M85" i="11"/>
  <c r="M182" i="11"/>
  <c r="M77" i="11"/>
  <c r="M64" i="11"/>
  <c r="M80" i="11"/>
  <c r="M72" i="11"/>
  <c r="M88" i="11"/>
  <c r="N85" i="11"/>
  <c r="N45" i="11"/>
  <c r="N57" i="11"/>
  <c r="N77" i="11"/>
  <c r="N51" i="11"/>
  <c r="N176" i="11"/>
  <c r="N188" i="11"/>
  <c r="N96" i="11"/>
  <c r="N69" i="11"/>
  <c r="N182" i="11"/>
  <c r="N93" i="11"/>
  <c r="N98" i="11"/>
  <c r="N106" i="11" s="1"/>
  <c r="N80" i="11"/>
  <c r="N64" i="11"/>
  <c r="N88" i="11"/>
  <c r="N72" i="11"/>
  <c r="K51" i="11"/>
  <c r="K69" i="11"/>
  <c r="K93" i="11"/>
  <c r="K98" i="11"/>
  <c r="K106" i="11" s="1"/>
  <c r="K45" i="11"/>
  <c r="K57" i="11"/>
  <c r="K96" i="11"/>
  <c r="K85" i="11"/>
  <c r="K182" i="11"/>
  <c r="K77" i="11"/>
  <c r="K188" i="11"/>
  <c r="K176" i="11"/>
  <c r="K88" i="11"/>
  <c r="K64" i="11"/>
  <c r="K72" i="11"/>
  <c r="K80" i="11"/>
  <c r="L99" i="11"/>
  <c r="P85" i="11"/>
  <c r="P45" i="11"/>
  <c r="P57" i="11"/>
  <c r="P96" i="11"/>
  <c r="P77" i="11"/>
  <c r="P93" i="11"/>
  <c r="P98" i="11"/>
  <c r="P106" i="11" s="1"/>
  <c r="P176" i="11"/>
  <c r="P188" i="11"/>
  <c r="P69" i="11"/>
  <c r="P51" i="11"/>
  <c r="P182" i="11"/>
  <c r="P72" i="11"/>
  <c r="P64" i="11"/>
  <c r="P80" i="11"/>
  <c r="P88" i="11"/>
  <c r="L233" i="11"/>
  <c r="L270" i="11" s="1"/>
  <c r="R51" i="11"/>
  <c r="R98" i="11"/>
  <c r="R106" i="11" s="1"/>
  <c r="R85" i="11"/>
  <c r="R45" i="11"/>
  <c r="R57" i="11"/>
  <c r="R77" i="11"/>
  <c r="R93" i="11"/>
  <c r="R182" i="11"/>
  <c r="R96" i="11"/>
  <c r="R69" i="11"/>
  <c r="R176" i="11"/>
  <c r="R188" i="11"/>
  <c r="R80" i="11"/>
  <c r="R64" i="11"/>
  <c r="R72" i="11"/>
  <c r="R88" i="11"/>
  <c r="BG48" i="11"/>
  <c r="BH180" i="11"/>
  <c r="BI174" i="11"/>
  <c r="BH168" i="11"/>
  <c r="BG217" i="11"/>
  <c r="BI42" i="11"/>
  <c r="AL74" i="11"/>
  <c r="T74" i="11" s="1"/>
  <c r="AL163" i="11"/>
  <c r="T163" i="11" s="1"/>
  <c r="AN185" i="11"/>
  <c r="AN114" i="11"/>
  <c r="V114" i="11" s="1"/>
  <c r="AK267" i="11"/>
  <c r="S267" i="11" s="1"/>
  <c r="S268" i="11" s="1"/>
  <c r="AK134" i="11"/>
  <c r="S134" i="11" s="1"/>
  <c r="AK174" i="11"/>
  <c r="S174" i="11" s="1"/>
  <c r="AM158" i="11"/>
  <c r="U158" i="11" s="1"/>
  <c r="AK140" i="11"/>
  <c r="S140" i="11" s="1"/>
  <c r="AM245" i="11"/>
  <c r="U245" i="11" s="1"/>
  <c r="AI173" i="11"/>
  <c r="AJ103" i="11"/>
  <c r="AJ244" i="11"/>
  <c r="AH259" i="11"/>
  <c r="AH250" i="11"/>
  <c r="AI221" i="11"/>
  <c r="AJ217" i="11"/>
  <c r="AJ206" i="11"/>
  <c r="AH179" i="11"/>
  <c r="AH206" i="11"/>
  <c r="AH260" i="11"/>
  <c r="AJ134" i="11"/>
  <c r="AJ140" i="11"/>
  <c r="AI122" i="11"/>
  <c r="AI201" i="11"/>
  <c r="AI226" i="11"/>
  <c r="AI266" i="11"/>
  <c r="AJ74" i="11"/>
  <c r="AJ186" i="11"/>
  <c r="AJ202" i="11"/>
  <c r="AJ222" i="11"/>
  <c r="AJ42" i="11"/>
  <c r="AJ226" i="11"/>
  <c r="AJ196" i="11"/>
  <c r="AJ266" i="11"/>
  <c r="AH65" i="11"/>
  <c r="AH89" i="11"/>
  <c r="AH216" i="11"/>
  <c r="AH221" i="11"/>
  <c r="AI115" i="11"/>
  <c r="AI158" i="11"/>
  <c r="AI222" i="11"/>
  <c r="AI151" i="11"/>
  <c r="AH186" i="11"/>
  <c r="AH227" i="11"/>
  <c r="AH192" i="11"/>
  <c r="AH158" i="11"/>
  <c r="AH145" i="11"/>
  <c r="AI144" i="11"/>
  <c r="AJ128" i="11"/>
  <c r="AJ129" i="11"/>
  <c r="AI129" i="11"/>
  <c r="AI191" i="11"/>
  <c r="AJ212" i="11"/>
  <c r="AJ150" i="11"/>
  <c r="AH102" i="11"/>
  <c r="AI260" i="11"/>
  <c r="AH222" i="11"/>
  <c r="AJ145" i="11"/>
  <c r="AI254" i="11"/>
  <c r="AI48" i="11"/>
  <c r="AI206" i="11"/>
  <c r="AI239" i="11"/>
  <c r="AJ164" i="11"/>
  <c r="AJ192" i="11"/>
  <c r="AJ174" i="11"/>
  <c r="AJ260" i="11"/>
  <c r="AJ122" i="11"/>
  <c r="AJ211" i="11"/>
  <c r="AJ216" i="11"/>
  <c r="AH73" i="11"/>
  <c r="AH163" i="11"/>
  <c r="AH244" i="11"/>
  <c r="AH168" i="11"/>
  <c r="AI169" i="11"/>
  <c r="AI49" i="11"/>
  <c r="AI192" i="11"/>
  <c r="AI227" i="11"/>
  <c r="AH49" i="11"/>
  <c r="AH202" i="11"/>
  <c r="AH197" i="11"/>
  <c r="AH169" i="11"/>
  <c r="AH134" i="11"/>
  <c r="AI133" i="11"/>
  <c r="AI196" i="11"/>
  <c r="AJ173" i="11"/>
  <c r="AI217" i="11"/>
  <c r="AH43" i="11"/>
  <c r="AJ139" i="11"/>
  <c r="AI140" i="11"/>
  <c r="AI65" i="11"/>
  <c r="AI73" i="11"/>
  <c r="AI157" i="11"/>
  <c r="AI244" i="11"/>
  <c r="AJ180" i="11"/>
  <c r="AJ207" i="11"/>
  <c r="AJ250" i="11"/>
  <c r="AJ48" i="11"/>
  <c r="AJ89" i="11"/>
  <c r="AJ239" i="11"/>
  <c r="AJ254" i="11"/>
  <c r="AH81" i="11"/>
  <c r="AH48" i="11"/>
  <c r="AH266" i="11"/>
  <c r="AH226" i="11"/>
  <c r="AI43" i="11"/>
  <c r="AI197" i="11"/>
  <c r="AI207" i="11"/>
  <c r="AI240" i="11"/>
  <c r="AH55" i="11"/>
  <c r="AH212" i="11"/>
  <c r="AH207" i="11"/>
  <c r="AJ144" i="11"/>
  <c r="AH144" i="11"/>
  <c r="AI145" i="11"/>
  <c r="AI179" i="11"/>
  <c r="AJ255" i="11"/>
  <c r="AH201" i="11"/>
  <c r="AJ158" i="11"/>
  <c r="AI74" i="11"/>
  <c r="AI81" i="11"/>
  <c r="AI150" i="11"/>
  <c r="AI102" i="11"/>
  <c r="AI249" i="11"/>
  <c r="AJ43" i="11"/>
  <c r="AJ90" i="11"/>
  <c r="AJ197" i="11"/>
  <c r="AJ123" i="11"/>
  <c r="AJ54" i="11"/>
  <c r="AJ102" i="11"/>
  <c r="AJ163" i="11"/>
  <c r="AJ221" i="11"/>
  <c r="AH150" i="11"/>
  <c r="AH54" i="11"/>
  <c r="AH122" i="11"/>
  <c r="AH157" i="11"/>
  <c r="AI186" i="11"/>
  <c r="AI212" i="11"/>
  <c r="AI174" i="11"/>
  <c r="AI245" i="11"/>
  <c r="AH115" i="11"/>
  <c r="AH82" i="11"/>
  <c r="AH240" i="11"/>
  <c r="AH164" i="11"/>
  <c r="AJ133" i="11"/>
  <c r="AH133" i="11"/>
  <c r="AI134" i="11"/>
  <c r="AH140" i="11"/>
  <c r="AJ66" i="11"/>
  <c r="AJ249" i="11"/>
  <c r="AI103" i="11"/>
  <c r="AH90" i="11"/>
  <c r="AI128" i="11"/>
  <c r="AJ240" i="11"/>
  <c r="AJ191" i="11"/>
  <c r="AH191" i="11"/>
  <c r="AI90" i="11"/>
  <c r="AH255" i="11"/>
  <c r="AI42" i="11"/>
  <c r="AI185" i="11"/>
  <c r="AI168" i="11"/>
  <c r="AI259" i="11"/>
  <c r="AJ49" i="11"/>
  <c r="AJ169" i="11"/>
  <c r="AJ227" i="11"/>
  <c r="AJ267" i="11"/>
  <c r="AJ65" i="11"/>
  <c r="AJ157" i="11"/>
  <c r="AJ179" i="11"/>
  <c r="AJ201" i="11"/>
  <c r="AH185" i="11"/>
  <c r="AH114" i="11"/>
  <c r="AH173" i="11"/>
  <c r="AH254" i="11"/>
  <c r="AI55" i="11"/>
  <c r="AI202" i="11"/>
  <c r="AI180" i="11"/>
  <c r="AI250" i="11"/>
  <c r="AH123" i="11"/>
  <c r="AH103" i="11"/>
  <c r="AH217" i="11"/>
  <c r="AH267" i="11"/>
  <c r="AH129" i="11"/>
  <c r="AI216" i="11"/>
  <c r="AJ81" i="11"/>
  <c r="AH239" i="11"/>
  <c r="AI164" i="11"/>
  <c r="AH66" i="11"/>
  <c r="AH128" i="11"/>
  <c r="AI89" i="11"/>
  <c r="AJ82" i="11"/>
  <c r="AJ259" i="11"/>
  <c r="AI123" i="11"/>
  <c r="AH74" i="11"/>
  <c r="AI114" i="11"/>
  <c r="AI54" i="11"/>
  <c r="AI211" i="11"/>
  <c r="AI163" i="11"/>
  <c r="AJ55" i="11"/>
  <c r="AJ151" i="11"/>
  <c r="AJ245" i="11"/>
  <c r="AJ115" i="11"/>
  <c r="AJ73" i="11"/>
  <c r="AJ168" i="11"/>
  <c r="AJ185" i="11"/>
  <c r="AJ114" i="11"/>
  <c r="AH42" i="11"/>
  <c r="AH211" i="11"/>
  <c r="AH196" i="11"/>
  <c r="AH249" i="11"/>
  <c r="AI82" i="11"/>
  <c r="AI66" i="11"/>
  <c r="AI267" i="11"/>
  <c r="AI255" i="11"/>
  <c r="AH180" i="11"/>
  <c r="AH174" i="11"/>
  <c r="AH151" i="11"/>
  <c r="AH245" i="11"/>
  <c r="AH139" i="11"/>
  <c r="AI139" i="11"/>
  <c r="AM249" i="11"/>
  <c r="U249" i="11" s="1"/>
  <c r="AM179" i="11"/>
  <c r="AM42" i="11"/>
  <c r="U42" i="11" s="1"/>
  <c r="AM239" i="11"/>
  <c r="U239" i="11" s="1"/>
  <c r="AK211" i="11"/>
  <c r="S211" i="11" s="1"/>
  <c r="AN55" i="11"/>
  <c r="V55" i="11" s="1"/>
  <c r="AM122" i="11"/>
  <c r="U122" i="11" s="1"/>
  <c r="AM89" i="11"/>
  <c r="U89" i="11" s="1"/>
  <c r="AM65" i="11"/>
  <c r="U65" i="11" s="1"/>
  <c r="AK164" i="11"/>
  <c r="S164" i="11" s="1"/>
  <c r="AK249" i="11"/>
  <c r="AN144" i="11"/>
  <c r="AK185" i="11"/>
  <c r="S185" i="11" s="1"/>
  <c r="AM129" i="11"/>
  <c r="U129" i="11" s="1"/>
  <c r="AK102" i="11"/>
  <c r="AM157" i="11"/>
  <c r="AL151" i="11"/>
  <c r="T151" i="11" s="1"/>
  <c r="AL66" i="11"/>
  <c r="T66" i="11" s="1"/>
  <c r="AL134" i="11"/>
  <c r="T134" i="11" s="1"/>
  <c r="AK254" i="11"/>
  <c r="AK197" i="11"/>
  <c r="S197" i="11" s="1"/>
  <c r="AL227" i="11"/>
  <c r="T227" i="11" s="1"/>
  <c r="AM259" i="11"/>
  <c r="U259" i="11" s="1"/>
  <c r="AM226" i="11"/>
  <c r="AM206" i="11"/>
  <c r="U206" i="11" s="1"/>
  <c r="AL49" i="11"/>
  <c r="T49" i="11" s="1"/>
  <c r="T50" i="11" s="1"/>
  <c r="AL207" i="11"/>
  <c r="T207" i="11" s="1"/>
  <c r="AL212" i="11"/>
  <c r="T212" i="11" s="1"/>
  <c r="AM102" i="11"/>
  <c r="U102" i="11" s="1"/>
  <c r="AK168" i="11"/>
  <c r="S168" i="11" s="1"/>
  <c r="AN82" i="11"/>
  <c r="V82" i="11" s="1"/>
  <c r="AK244" i="11"/>
  <c r="AN43" i="11"/>
  <c r="V43" i="11" s="1"/>
  <c r="V44" i="11" s="1"/>
  <c r="AM150" i="11"/>
  <c r="U150" i="11" s="1"/>
  <c r="AM185" i="11"/>
  <c r="U185" i="11" s="1"/>
  <c r="AL222" i="11"/>
  <c r="T222" i="11" s="1"/>
  <c r="AL43" i="11"/>
  <c r="T43" i="11" s="1"/>
  <c r="AN65" i="11"/>
  <c r="V65" i="11" s="1"/>
  <c r="AK151" i="11"/>
  <c r="S151" i="11" s="1"/>
  <c r="AM145" i="11"/>
  <c r="U145" i="11" s="1"/>
  <c r="AN201" i="11"/>
  <c r="V201" i="11" s="1"/>
  <c r="AM55" i="11"/>
  <c r="U55" i="11" s="1"/>
  <c r="AM134" i="11"/>
  <c r="U134" i="11" s="1"/>
  <c r="AK115" i="11"/>
  <c r="AM227" i="11"/>
  <c r="U227" i="11" s="1"/>
  <c r="AK123" i="11"/>
  <c r="S123" i="11" s="1"/>
  <c r="AN196" i="11"/>
  <c r="V196" i="11" s="1"/>
  <c r="AK180" i="11"/>
  <c r="AN191" i="11"/>
  <c r="V191" i="11" s="1"/>
  <c r="AK145" i="11"/>
  <c r="S145" i="11" s="1"/>
  <c r="S146" i="11" s="1"/>
  <c r="AM115" i="11"/>
  <c r="U115" i="11" s="1"/>
  <c r="AK49" i="11"/>
  <c r="AN81" i="11"/>
  <c r="V81" i="11" s="1"/>
  <c r="AK222" i="11"/>
  <c r="S222" i="11" s="1"/>
  <c r="AK129" i="11"/>
  <c r="S129" i="11" s="1"/>
  <c r="AK227" i="11"/>
  <c r="S227" i="11" s="1"/>
  <c r="AN133" i="11"/>
  <c r="V133" i="11" s="1"/>
  <c r="AN168" i="11"/>
  <c r="AK74" i="11"/>
  <c r="S74" i="11" s="1"/>
  <c r="AM140" i="11"/>
  <c r="U140" i="11" s="1"/>
  <c r="AK255" i="11"/>
  <c r="S255" i="11" s="1"/>
  <c r="AM49" i="11"/>
  <c r="U49" i="11" s="1"/>
  <c r="AM123" i="11"/>
  <c r="U123" i="11" s="1"/>
  <c r="AK82" i="11"/>
  <c r="R19" i="11"/>
  <c r="R117" i="11" s="1"/>
  <c r="AK158" i="11"/>
  <c r="S158" i="11" s="1"/>
  <c r="AM74" i="11"/>
  <c r="U74" i="11" s="1"/>
  <c r="AM139" i="11"/>
  <c r="AM254" i="11"/>
  <c r="U254" i="11" s="1"/>
  <c r="AM128" i="11"/>
  <c r="AK114" i="11"/>
  <c r="S114" i="11" s="1"/>
  <c r="AL158" i="11"/>
  <c r="T158" i="11" s="1"/>
  <c r="AK191" i="11"/>
  <c r="S191" i="11" s="1"/>
  <c r="AL90" i="11"/>
  <c r="T90" i="11" s="1"/>
  <c r="AL123" i="11"/>
  <c r="T123" i="11" s="1"/>
  <c r="AL55" i="11"/>
  <c r="T55" i="11" s="1"/>
  <c r="AL128" i="11"/>
  <c r="T128" i="11" s="1"/>
  <c r="AL144" i="11"/>
  <c r="T144" i="11" s="1"/>
  <c r="AL180" i="11"/>
  <c r="T180" i="11" s="1"/>
  <c r="AL139" i="11"/>
  <c r="AM81" i="11"/>
  <c r="U81" i="11" s="1"/>
  <c r="AL89" i="11"/>
  <c r="AL115" i="11"/>
  <c r="T115" i="11" s="1"/>
  <c r="AL186" i="11"/>
  <c r="T186" i="11" s="1"/>
  <c r="AL168" i="11"/>
  <c r="T168" i="11" s="1"/>
  <c r="AL244" i="11"/>
  <c r="T244" i="11" s="1"/>
  <c r="AL133" i="11"/>
  <c r="AL192" i="11"/>
  <c r="T192" i="11" s="1"/>
  <c r="AL173" i="11"/>
  <c r="T173" i="11" s="1"/>
  <c r="AM114" i="11"/>
  <c r="U114" i="11" s="1"/>
  <c r="AK216" i="11"/>
  <c r="S216" i="11" s="1"/>
  <c r="AL250" i="11"/>
  <c r="T250" i="11" s="1"/>
  <c r="AL202" i="11"/>
  <c r="T202" i="11" s="1"/>
  <c r="AL129" i="11"/>
  <c r="T129" i="11" s="1"/>
  <c r="AL221" i="11"/>
  <c r="T221" i="11" s="1"/>
  <c r="AL245" i="11"/>
  <c r="T245" i="11" s="1"/>
  <c r="AL240" i="11"/>
  <c r="T240" i="11" s="1"/>
  <c r="AL145" i="11"/>
  <c r="T145" i="11" s="1"/>
  <c r="AL114" i="11"/>
  <c r="AL260" i="11"/>
  <c r="T260" i="11" s="1"/>
  <c r="AL196" i="11"/>
  <c r="T196" i="11" s="1"/>
  <c r="AL169" i="11"/>
  <c r="T169" i="11" s="1"/>
  <c r="AL140" i="11"/>
  <c r="T140" i="11" s="1"/>
  <c r="AL239" i="11"/>
  <c r="AL259" i="11"/>
  <c r="T259" i="11" s="1"/>
  <c r="AL179" i="11"/>
  <c r="T179" i="11" s="1"/>
  <c r="AL65" i="11"/>
  <c r="AN240" i="11"/>
  <c r="V240" i="11" s="1"/>
  <c r="AL254" i="11"/>
  <c r="T254" i="11" s="1"/>
  <c r="AM211" i="11"/>
  <c r="U211" i="11" s="1"/>
  <c r="AM144" i="11"/>
  <c r="U144" i="11" s="1"/>
  <c r="AK89" i="11"/>
  <c r="S89" i="11" s="1"/>
  <c r="AN169" i="11"/>
  <c r="V169" i="11" s="1"/>
  <c r="AK201" i="11"/>
  <c r="S201" i="11" s="1"/>
  <c r="AL102" i="11"/>
  <c r="AM54" i="11"/>
  <c r="AN192" i="11"/>
  <c r="V192" i="11" s="1"/>
  <c r="AN158" i="11"/>
  <c r="V158" i="11" s="1"/>
  <c r="AM221" i="11"/>
  <c r="AM266" i="11"/>
  <c r="AN134" i="11"/>
  <c r="V134" i="11" s="1"/>
  <c r="AN74" i="11"/>
  <c r="V74" i="11" s="1"/>
  <c r="AN129" i="11"/>
  <c r="V129" i="11" s="1"/>
  <c r="AN123" i="11"/>
  <c r="V123" i="11" s="1"/>
  <c r="AN157" i="11"/>
  <c r="V157" i="11" s="1"/>
  <c r="AL81" i="11"/>
  <c r="T81" i="11" s="1"/>
  <c r="AN259" i="11"/>
  <c r="AN103" i="11"/>
  <c r="AK179" i="11"/>
  <c r="S179" i="11" s="1"/>
  <c r="AK196" i="11"/>
  <c r="AK173" i="11"/>
  <c r="AN164" i="11"/>
  <c r="V164" i="11" s="1"/>
  <c r="AK163" i="11"/>
  <c r="S163" i="11" s="1"/>
  <c r="AK81" i="11"/>
  <c r="S81" i="11" s="1"/>
  <c r="AN222" i="11"/>
  <c r="V222" i="11" s="1"/>
  <c r="AL201" i="11"/>
  <c r="AN249" i="11"/>
  <c r="V249" i="11" s="1"/>
  <c r="AK139" i="11"/>
  <c r="AN260" i="11"/>
  <c r="V260" i="11" s="1"/>
  <c r="AN49" i="11"/>
  <c r="V49" i="11" s="1"/>
  <c r="AN180" i="11"/>
  <c r="V180" i="11" s="1"/>
  <c r="AM216" i="11"/>
  <c r="U216" i="11" s="1"/>
  <c r="AK65" i="11"/>
  <c r="S65" i="11" s="1"/>
  <c r="AN227" i="11"/>
  <c r="V227" i="11" s="1"/>
  <c r="AN140" i="11"/>
  <c r="V140" i="11" s="1"/>
  <c r="AK73" i="11"/>
  <c r="S73" i="11" s="1"/>
  <c r="AK128" i="11"/>
  <c r="AN255" i="11"/>
  <c r="V255" i="11" s="1"/>
  <c r="AN151" i="11"/>
  <c r="V151" i="11" s="1"/>
  <c r="AK206" i="11"/>
  <c r="AN173" i="11"/>
  <c r="AM191" i="11"/>
  <c r="AN206" i="11"/>
  <c r="V206" i="11" s="1"/>
  <c r="AN186" i="11"/>
  <c r="V186" i="11" s="1"/>
  <c r="AK122" i="11"/>
  <c r="AK226" i="11"/>
  <c r="AM133" i="11"/>
  <c r="U133" i="11" s="1"/>
  <c r="AN217" i="11"/>
  <c r="V217" i="11" s="1"/>
  <c r="AN115" i="11"/>
  <c r="V115" i="11" s="1"/>
  <c r="AK54" i="11"/>
  <c r="AN267" i="11"/>
  <c r="V267" i="11" s="1"/>
  <c r="AM244" i="11"/>
  <c r="AM48" i="11"/>
  <c r="AN197" i="11"/>
  <c r="V197" i="11" s="1"/>
  <c r="AK221" i="11"/>
  <c r="S221" i="11" s="1"/>
  <c r="AN90" i="11"/>
  <c r="V90" i="11" s="1"/>
  <c r="AN250" i="11"/>
  <c r="V250" i="11" s="1"/>
  <c r="AM196" i="11"/>
  <c r="U196" i="11" s="1"/>
  <c r="AN139" i="11"/>
  <c r="AN245" i="11"/>
  <c r="V245" i="11" s="1"/>
  <c r="AM163" i="11"/>
  <c r="U163" i="11" s="1"/>
  <c r="AK150" i="11"/>
  <c r="AK239" i="11"/>
  <c r="S239" i="11" s="1"/>
  <c r="AN145" i="11"/>
  <c r="V145" i="11" s="1"/>
  <c r="AM73" i="11"/>
  <c r="AM173" i="11"/>
  <c r="AN89" i="11"/>
  <c r="V89" i="11" s="1"/>
  <c r="AN66" i="11"/>
  <c r="V66" i="11" s="1"/>
  <c r="AN128" i="11"/>
  <c r="AM201" i="11"/>
  <c r="AN212" i="11"/>
  <c r="V212" i="11" s="1"/>
  <c r="AN202" i="11"/>
  <c r="V202" i="11" s="1"/>
  <c r="AK133" i="11"/>
  <c r="AK157" i="11"/>
  <c r="AK259" i="11"/>
  <c r="S259" i="11" s="1"/>
  <c r="AN73" i="11"/>
  <c r="AN207" i="11"/>
  <c r="V207" i="11" s="1"/>
  <c r="AM151" i="11"/>
  <c r="U151" i="11" s="1"/>
  <c r="AK207" i="11"/>
  <c r="S207" i="11" s="1"/>
  <c r="AN226" i="11"/>
  <c r="V226" i="11" s="1"/>
  <c r="AK202" i="11"/>
  <c r="AM250" i="11"/>
  <c r="U250" i="11" s="1"/>
  <c r="AM169" i="11"/>
  <c r="U169" i="11" s="1"/>
  <c r="U170" i="11" s="1"/>
  <c r="AL255" i="11"/>
  <c r="T255" i="11" s="1"/>
  <c r="AN54" i="11"/>
  <c r="AK240" i="11"/>
  <c r="S240" i="11" s="1"/>
  <c r="AM192" i="11"/>
  <c r="U192" i="11" s="1"/>
  <c r="AK43" i="11"/>
  <c r="S43" i="11" s="1"/>
  <c r="AN216" i="11"/>
  <c r="AK66" i="11"/>
  <c r="S66" i="11" s="1"/>
  <c r="AM202" i="11"/>
  <c r="U202" i="11" s="1"/>
  <c r="AM222" i="11"/>
  <c r="U222" i="11" s="1"/>
  <c r="AL164" i="11"/>
  <c r="T164" i="11" s="1"/>
  <c r="AN150" i="11"/>
  <c r="AL54" i="11"/>
  <c r="T54" i="11" s="1"/>
  <c r="AM255" i="11"/>
  <c r="U255" i="11" s="1"/>
  <c r="AL82" i="11"/>
  <c r="T82" i="11" s="1"/>
  <c r="AN211" i="11"/>
  <c r="AL216" i="11"/>
  <c r="AK55" i="11"/>
  <c r="S55" i="11" s="1"/>
  <c r="AM82" i="11"/>
  <c r="U82" i="11" s="1"/>
  <c r="AL197" i="11"/>
  <c r="T197" i="11" s="1"/>
  <c r="AN244" i="11"/>
  <c r="V244" i="11" s="1"/>
  <c r="AL150" i="11"/>
  <c r="AM164" i="11"/>
  <c r="U164" i="11" s="1"/>
  <c r="AL174" i="11"/>
  <c r="T174" i="11" s="1"/>
  <c r="AN266" i="11"/>
  <c r="AL211" i="11"/>
  <c r="T211" i="11" s="1"/>
  <c r="AM90" i="11"/>
  <c r="U90" i="11" s="1"/>
  <c r="AM174" i="11"/>
  <c r="U174" i="11" s="1"/>
  <c r="AL267" i="11"/>
  <c r="T267" i="11" s="1"/>
  <c r="AN122" i="11"/>
  <c r="V122" i="11" s="1"/>
  <c r="AL122" i="11"/>
  <c r="AM197" i="11"/>
  <c r="U197" i="11" s="1"/>
  <c r="AL103" i="11"/>
  <c r="T103" i="11" s="1"/>
  <c r="AM217" i="11"/>
  <c r="U217" i="11" s="1"/>
  <c r="AL266" i="11"/>
  <c r="AK169" i="11"/>
  <c r="AM103" i="11"/>
  <c r="U103" i="11" s="1"/>
  <c r="AL249" i="11"/>
  <c r="T249" i="11" s="1"/>
  <c r="AM212" i="11"/>
  <c r="U212" i="11" s="1"/>
  <c r="AN221" i="11"/>
  <c r="AM267" i="11"/>
  <c r="U267" i="11" s="1"/>
  <c r="AL185" i="11"/>
  <c r="T185" i="11" s="1"/>
  <c r="AM207" i="11"/>
  <c r="U207" i="11" s="1"/>
  <c r="AN254" i="11"/>
  <c r="AL226" i="11"/>
  <c r="AK245" i="11"/>
  <c r="S245" i="11" s="1"/>
  <c r="AL191" i="11"/>
  <c r="T191" i="11" s="1"/>
  <c r="AM186" i="11"/>
  <c r="U186" i="11" s="1"/>
  <c r="AN179" i="11"/>
  <c r="AK90" i="11"/>
  <c r="S90" i="11" s="1"/>
  <c r="AL157" i="11"/>
  <c r="T157" i="11" s="1"/>
  <c r="AM43" i="11"/>
  <c r="U43" i="11" s="1"/>
  <c r="AN48" i="11"/>
  <c r="V48" i="11" s="1"/>
  <c r="AN163" i="11"/>
  <c r="V163" i="11" s="1"/>
  <c r="AK212" i="11"/>
  <c r="AL206" i="11"/>
  <c r="AK260" i="11"/>
  <c r="S260" i="11" s="1"/>
  <c r="AN102" i="11"/>
  <c r="V102" i="11" s="1"/>
  <c r="AM260" i="11"/>
  <c r="U260" i="11" s="1"/>
  <c r="AK217" i="11"/>
  <c r="AL73" i="11"/>
  <c r="AK250" i="11"/>
  <c r="S250" i="11" s="1"/>
  <c r="AN239" i="11"/>
  <c r="V239" i="11" s="1"/>
  <c r="AM66" i="11"/>
  <c r="U66" i="11" s="1"/>
  <c r="AK186" i="11"/>
  <c r="S186" i="11" s="1"/>
  <c r="AL42" i="11"/>
  <c r="AK192" i="11"/>
  <c r="S192" i="11" s="1"/>
  <c r="AM240" i="11"/>
  <c r="U240" i="11" s="1"/>
  <c r="S19" i="11"/>
  <c r="P21" i="10"/>
  <c r="T17" i="11"/>
  <c r="AC231" i="11"/>
  <c r="AC263" i="11"/>
  <c r="AC95" i="11"/>
  <c r="AC59" i="11"/>
  <c r="K29" i="10"/>
  <c r="J81" i="10"/>
  <c r="L81" i="10"/>
  <c r="J67" i="10"/>
  <c r="K81" i="10"/>
  <c r="L67" i="10"/>
  <c r="M67" i="10"/>
  <c r="M81" i="10"/>
  <c r="K67" i="10"/>
  <c r="I36" i="10"/>
  <c r="I35" i="10"/>
  <c r="I34" i="10"/>
  <c r="L29" i="10"/>
  <c r="M29" i="10"/>
  <c r="K71" i="10"/>
  <c r="K72" i="10" s="1"/>
  <c r="J71" i="10"/>
  <c r="J72" i="10" s="1"/>
  <c r="M71" i="10"/>
  <c r="M72" i="10" s="1"/>
  <c r="L71" i="10"/>
  <c r="L72" i="10" s="1"/>
  <c r="U4" i="10"/>
  <c r="I29" i="10"/>
  <c r="I81" i="10"/>
  <c r="T19" i="11" a="1"/>
  <c r="S37" i="11" a="1"/>
  <c r="S44" i="11" l="1"/>
  <c r="V83" i="11"/>
  <c r="S75" i="11"/>
  <c r="P99" i="11"/>
  <c r="N99" i="11"/>
  <c r="S67" i="11"/>
  <c r="V67" i="11"/>
  <c r="V68" i="11" s="1"/>
  <c r="V259" i="11"/>
  <c r="V261" i="11" s="1"/>
  <c r="T226" i="11"/>
  <c r="T228" i="11" s="1"/>
  <c r="S217" i="11"/>
  <c r="W217" i="11" s="1"/>
  <c r="V254" i="11"/>
  <c r="V256" i="11" s="1"/>
  <c r="S169" i="11"/>
  <c r="W169" i="11" s="1"/>
  <c r="V150" i="11"/>
  <c r="V152" i="11" s="1"/>
  <c r="U201" i="11"/>
  <c r="U203" i="11" s="1"/>
  <c r="S150" i="11"/>
  <c r="S152" i="11" s="1"/>
  <c r="S226" i="11"/>
  <c r="S228" i="11" s="1"/>
  <c r="U54" i="11"/>
  <c r="U56" i="11" s="1"/>
  <c r="BH56" i="11" s="1"/>
  <c r="U139" i="11"/>
  <c r="U141" i="11" s="1"/>
  <c r="U147" i="11" s="1"/>
  <c r="S49" i="11"/>
  <c r="W49" i="11" s="1"/>
  <c r="S115" i="11"/>
  <c r="W115" i="11" s="1"/>
  <c r="S254" i="11"/>
  <c r="S256" i="11" s="1"/>
  <c r="V144" i="11"/>
  <c r="V146" i="11" s="1"/>
  <c r="T122" i="11"/>
  <c r="T124" i="11" s="1"/>
  <c r="T133" i="11"/>
  <c r="T135" i="11" s="1"/>
  <c r="S206" i="11"/>
  <c r="S208" i="11" s="1"/>
  <c r="T266" i="11"/>
  <c r="T268" i="11" s="1"/>
  <c r="V54" i="11"/>
  <c r="V56" i="11" s="1"/>
  <c r="V128" i="11"/>
  <c r="V130" i="11" s="1"/>
  <c r="V136" i="11" s="1"/>
  <c r="U48" i="11"/>
  <c r="U50" i="11" s="1"/>
  <c r="S122" i="11"/>
  <c r="S124" i="11" s="1"/>
  <c r="S128" i="11"/>
  <c r="S130" i="11" s="1"/>
  <c r="S136" i="11" s="1"/>
  <c r="S173" i="11"/>
  <c r="S175" i="11" s="1"/>
  <c r="T102" i="11"/>
  <c r="T104" i="11" s="1"/>
  <c r="T65" i="11"/>
  <c r="T67" i="11" s="1"/>
  <c r="T68" i="11" s="1"/>
  <c r="T114" i="11"/>
  <c r="T116" i="11" s="1"/>
  <c r="S249" i="11"/>
  <c r="S251" i="11" s="1"/>
  <c r="S212" i="11"/>
  <c r="W212" i="11" s="1"/>
  <c r="V216" i="11"/>
  <c r="V218" i="11" s="1"/>
  <c r="S133" i="11"/>
  <c r="S135" i="11" s="1"/>
  <c r="U221" i="11"/>
  <c r="BH221" i="11" s="1"/>
  <c r="U128" i="11"/>
  <c r="U130" i="11" s="1"/>
  <c r="U136" i="11" s="1"/>
  <c r="T73" i="11"/>
  <c r="T75" i="11" s="1"/>
  <c r="T76" i="11" s="1"/>
  <c r="T42" i="11"/>
  <c r="T44" i="11" s="1"/>
  <c r="V73" i="11"/>
  <c r="V75" i="11" s="1"/>
  <c r="V76" i="11" s="1"/>
  <c r="U244" i="11"/>
  <c r="U246" i="11" s="1"/>
  <c r="S139" i="11"/>
  <c r="S141" i="11" s="1"/>
  <c r="S147" i="11" s="1"/>
  <c r="S196" i="11"/>
  <c r="S198" i="11" s="1"/>
  <c r="T89" i="11"/>
  <c r="T91" i="11" s="1"/>
  <c r="T92" i="11" s="1"/>
  <c r="V168" i="11"/>
  <c r="V170" i="11" s="1"/>
  <c r="BI170" i="11" s="1"/>
  <c r="U179" i="11"/>
  <c r="U181" i="11" s="1"/>
  <c r="V179" i="11"/>
  <c r="V181" i="11" s="1"/>
  <c r="V266" i="11"/>
  <c r="V268" i="11" s="1"/>
  <c r="T216" i="11"/>
  <c r="T218" i="11" s="1"/>
  <c r="V91" i="11"/>
  <c r="V139" i="11"/>
  <c r="V141" i="11" s="1"/>
  <c r="U83" i="11"/>
  <c r="U84" i="11" s="1"/>
  <c r="U67" i="11"/>
  <c r="U68" i="11" s="1"/>
  <c r="T206" i="11"/>
  <c r="T208" i="11" s="1"/>
  <c r="V221" i="11"/>
  <c r="V223" i="11" s="1"/>
  <c r="V211" i="11"/>
  <c r="V213" i="11" s="1"/>
  <c r="S157" i="11"/>
  <c r="S159" i="11" s="1"/>
  <c r="U173" i="11"/>
  <c r="U175" i="11" s="1"/>
  <c r="S54" i="11"/>
  <c r="S56" i="11" s="1"/>
  <c r="U191" i="11"/>
  <c r="U193" i="11" s="1"/>
  <c r="BH193" i="11" s="1"/>
  <c r="T201" i="11"/>
  <c r="T203" i="11" s="1"/>
  <c r="V103" i="11"/>
  <c r="W103" i="11" s="1"/>
  <c r="U266" i="11"/>
  <c r="U268" i="11" s="1"/>
  <c r="S91" i="11"/>
  <c r="S92" i="11" s="1"/>
  <c r="T239" i="11"/>
  <c r="T241" i="11" s="1"/>
  <c r="T139" i="11"/>
  <c r="T141" i="11" s="1"/>
  <c r="T147" i="11" s="1"/>
  <c r="S82" i="11"/>
  <c r="S83" i="11" s="1"/>
  <c r="S180" i="11"/>
  <c r="S181" i="11" s="1"/>
  <c r="S244" i="11"/>
  <c r="S246" i="11" s="1"/>
  <c r="U226" i="11"/>
  <c r="U228" i="11" s="1"/>
  <c r="U157" i="11"/>
  <c r="U159" i="11" s="1"/>
  <c r="U160" i="11" s="1"/>
  <c r="U91" i="11"/>
  <c r="U92" i="11" s="1"/>
  <c r="BH92" i="11" s="1"/>
  <c r="S102" i="11"/>
  <c r="S104" i="11" s="1"/>
  <c r="V185" i="11"/>
  <c r="V187" i="11" s="1"/>
  <c r="S202" i="11"/>
  <c r="W202" i="11" s="1"/>
  <c r="U73" i="11"/>
  <c r="U75" i="11" s="1"/>
  <c r="U76" i="11" s="1"/>
  <c r="BH76" i="11" s="1"/>
  <c r="V173" i="11"/>
  <c r="V175" i="11" s="1"/>
  <c r="T150" i="11"/>
  <c r="T152" i="11" s="1"/>
  <c r="T83" i="11"/>
  <c r="T84" i="11" s="1"/>
  <c r="U165" i="11"/>
  <c r="U187" i="11"/>
  <c r="U44" i="11"/>
  <c r="W90" i="11"/>
  <c r="T213" i="11"/>
  <c r="W55" i="11"/>
  <c r="U116" i="11"/>
  <c r="W186" i="11"/>
  <c r="W260" i="11"/>
  <c r="S261" i="11"/>
  <c r="V92" i="11"/>
  <c r="V208" i="11"/>
  <c r="V251" i="11"/>
  <c r="T261" i="11"/>
  <c r="T175" i="11"/>
  <c r="S193" i="11"/>
  <c r="V135" i="11"/>
  <c r="V193" i="11"/>
  <c r="BI193" i="11" s="1"/>
  <c r="V203" i="11"/>
  <c r="BI203" i="11" s="1"/>
  <c r="U208" i="11"/>
  <c r="U251" i="11"/>
  <c r="BH251" i="11" s="1"/>
  <c r="W267" i="11"/>
  <c r="P233" i="11"/>
  <c r="P270" i="11" s="1"/>
  <c r="S88" i="11"/>
  <c r="Q99" i="11"/>
  <c r="U198" i="11"/>
  <c r="W227" i="11"/>
  <c r="V116" i="11"/>
  <c r="K233" i="11"/>
  <c r="K270" i="11" s="1"/>
  <c r="M233" i="11"/>
  <c r="M270" i="11" s="1"/>
  <c r="R233" i="11"/>
  <c r="R270" i="11" s="1"/>
  <c r="K99" i="11"/>
  <c r="M99" i="11"/>
  <c r="V241" i="11"/>
  <c r="T193" i="11"/>
  <c r="U146" i="11"/>
  <c r="T223" i="11"/>
  <c r="V198" i="11"/>
  <c r="U124" i="11"/>
  <c r="BH124" i="11" s="1"/>
  <c r="V165" i="11"/>
  <c r="W245" i="11"/>
  <c r="V124" i="11"/>
  <c r="U218" i="11"/>
  <c r="U213" i="11"/>
  <c r="T246" i="11"/>
  <c r="T146" i="11"/>
  <c r="W222" i="11"/>
  <c r="W123" i="11"/>
  <c r="T165" i="11"/>
  <c r="N233" i="11"/>
  <c r="N270" i="11" s="1"/>
  <c r="W129" i="11"/>
  <c r="W151" i="11"/>
  <c r="U261" i="11"/>
  <c r="W250" i="11"/>
  <c r="T251" i="11"/>
  <c r="V228" i="11"/>
  <c r="V50" i="11"/>
  <c r="V246" i="11"/>
  <c r="T56" i="11"/>
  <c r="W207" i="11"/>
  <c r="S241" i="11"/>
  <c r="S223" i="11"/>
  <c r="U135" i="11"/>
  <c r="S165" i="11"/>
  <c r="V159" i="11"/>
  <c r="V160" i="11" s="1"/>
  <c r="T256" i="11"/>
  <c r="BG256" i="11" s="1"/>
  <c r="T198" i="11"/>
  <c r="T170" i="11"/>
  <c r="BG170" i="11" s="1"/>
  <c r="T130" i="11"/>
  <c r="T136" i="11" s="1"/>
  <c r="U256" i="11"/>
  <c r="W255" i="11"/>
  <c r="V84" i="11"/>
  <c r="W43" i="11"/>
  <c r="U104" i="11"/>
  <c r="W197" i="11"/>
  <c r="S187" i="11"/>
  <c r="S213" i="11"/>
  <c r="W140" i="11"/>
  <c r="L234" i="11"/>
  <c r="U241" i="11"/>
  <c r="S80" i="11"/>
  <c r="T80" i="11" s="1"/>
  <c r="T159" i="11"/>
  <c r="T160" i="11" s="1"/>
  <c r="W174" i="11"/>
  <c r="S72" i="11"/>
  <c r="T72" i="11" s="1"/>
  <c r="U72" i="11" s="1"/>
  <c r="V72" i="11" s="1"/>
  <c r="W66" i="11"/>
  <c r="W240" i="11"/>
  <c r="W192" i="11"/>
  <c r="W74" i="11"/>
  <c r="T187" i="11"/>
  <c r="S203" i="11"/>
  <c r="T181" i="11"/>
  <c r="W158" i="11"/>
  <c r="W145" i="11"/>
  <c r="U152" i="11"/>
  <c r="W164" i="11"/>
  <c r="W134" i="11"/>
  <c r="R99" i="11"/>
  <c r="S64" i="11"/>
  <c r="Q233" i="11"/>
  <c r="Q270" i="11" s="1"/>
  <c r="O233" i="11"/>
  <c r="O270" i="11" s="1"/>
  <c r="BI49" i="11"/>
  <c r="BH49" i="11"/>
  <c r="BF48" i="11"/>
  <c r="BH267" i="11"/>
  <c r="BH202" i="11"/>
  <c r="BG145" i="11"/>
  <c r="BF158" i="11"/>
  <c r="BH196" i="11"/>
  <c r="BG192" i="11"/>
  <c r="BH255" i="11"/>
  <c r="BI202" i="11"/>
  <c r="BI250" i="11"/>
  <c r="BI115" i="11"/>
  <c r="BI222" i="11"/>
  <c r="BG140" i="11"/>
  <c r="BG180" i="11"/>
  <c r="BH123" i="11"/>
  <c r="BF151" i="11"/>
  <c r="BI82" i="11"/>
  <c r="BF42" i="11"/>
  <c r="BF103" i="11"/>
  <c r="BH212" i="11"/>
  <c r="BH164" i="11"/>
  <c r="BG82" i="11"/>
  <c r="BI114" i="11"/>
  <c r="BG267" i="11"/>
  <c r="BH192" i="11"/>
  <c r="BF222" i="11"/>
  <c r="BI65" i="11"/>
  <c r="BH129" i="11"/>
  <c r="BI55" i="11"/>
  <c r="BG163" i="11"/>
  <c r="BF259" i="11"/>
  <c r="BI103" i="11"/>
  <c r="BG158" i="11"/>
  <c r="BF227" i="11"/>
  <c r="BI212" i="11"/>
  <c r="BI145" i="11"/>
  <c r="BI90" i="11"/>
  <c r="BI217" i="11"/>
  <c r="BI158" i="11"/>
  <c r="BG169" i="11"/>
  <c r="BG129" i="11"/>
  <c r="BH240" i="11"/>
  <c r="BH43" i="11"/>
  <c r="BH174" i="11"/>
  <c r="BG197" i="11"/>
  <c r="BH151" i="11"/>
  <c r="BI151" i="11"/>
  <c r="BI180" i="11"/>
  <c r="BI192" i="11"/>
  <c r="BG254" i="11"/>
  <c r="BG202" i="11"/>
  <c r="BH254" i="11"/>
  <c r="BH227" i="11"/>
  <c r="BG43" i="11"/>
  <c r="BH102" i="11"/>
  <c r="BF197" i="11"/>
  <c r="BF211" i="11"/>
  <c r="BF140" i="11"/>
  <c r="BF144" i="11"/>
  <c r="BI240" i="11"/>
  <c r="BG260" i="11"/>
  <c r="BG55" i="11"/>
  <c r="BI144" i="11"/>
  <c r="BH207" i="11"/>
  <c r="BH90" i="11"/>
  <c r="BH82" i="11"/>
  <c r="BG164" i="11"/>
  <c r="BI207" i="11"/>
  <c r="BI197" i="11"/>
  <c r="BH140" i="11"/>
  <c r="BG222" i="11"/>
  <c r="BG212" i="11"/>
  <c r="BH239" i="11"/>
  <c r="BH217" i="11"/>
  <c r="BH222" i="11"/>
  <c r="BG255" i="11"/>
  <c r="BI260" i="11"/>
  <c r="BI129" i="11"/>
  <c r="BG115" i="11"/>
  <c r="BG123" i="11"/>
  <c r="BH115" i="11"/>
  <c r="BH134" i="11"/>
  <c r="BH185" i="11"/>
  <c r="BG207" i="11"/>
  <c r="BG134" i="11"/>
  <c r="BF174" i="11"/>
  <c r="BF266" i="11"/>
  <c r="BI66" i="11"/>
  <c r="BI245" i="11"/>
  <c r="BI186" i="11"/>
  <c r="BG90" i="11"/>
  <c r="BH55" i="11"/>
  <c r="BG66" i="11"/>
  <c r="BF134" i="11"/>
  <c r="BH66" i="11"/>
  <c r="BH186" i="11"/>
  <c r="BH197" i="11"/>
  <c r="BG174" i="11"/>
  <c r="BH250" i="11"/>
  <c r="BI267" i="11"/>
  <c r="BI140" i="11"/>
  <c r="BI134" i="11"/>
  <c r="BI169" i="11"/>
  <c r="BG240" i="11"/>
  <c r="BI201" i="11"/>
  <c r="BG151" i="11"/>
  <c r="BH65" i="11"/>
  <c r="N59" i="10"/>
  <c r="N26" i="10"/>
  <c r="P80" i="10"/>
  <c r="N79" i="10"/>
  <c r="N27" i="10"/>
  <c r="P57" i="10"/>
  <c r="N65" i="10"/>
  <c r="P54" i="10"/>
  <c r="P64" i="10"/>
  <c r="N62" i="10"/>
  <c r="O54" i="10"/>
  <c r="O63" i="10"/>
  <c r="O27" i="10"/>
  <c r="N78" i="10"/>
  <c r="P56" i="10"/>
  <c r="P62" i="10"/>
  <c r="N58" i="10"/>
  <c r="O49" i="10"/>
  <c r="P60" i="10"/>
  <c r="P49" i="10"/>
  <c r="O53" i="10"/>
  <c r="P78" i="10"/>
  <c r="P63" i="10"/>
  <c r="N76" i="10"/>
  <c r="O80" i="10"/>
  <c r="P42" i="10"/>
  <c r="O51" i="10"/>
  <c r="P26" i="10"/>
  <c r="P59" i="10"/>
  <c r="P27" i="10"/>
  <c r="N60" i="10"/>
  <c r="O77" i="10"/>
  <c r="P55" i="10"/>
  <c r="O61" i="10"/>
  <c r="N80" i="10"/>
  <c r="O62" i="10"/>
  <c r="N55" i="10"/>
  <c r="O59" i="10"/>
  <c r="O26" i="10"/>
  <c r="N64" i="10"/>
  <c r="N63" i="10"/>
  <c r="P79" i="10"/>
  <c r="O52" i="10"/>
  <c r="O58" i="10"/>
  <c r="P77" i="10"/>
  <c r="O50" i="10"/>
  <c r="O78" i="10"/>
  <c r="O56" i="10"/>
  <c r="O79" i="10"/>
  <c r="N57" i="10"/>
  <c r="P58" i="10"/>
  <c r="P53" i="10"/>
  <c r="O42" i="10"/>
  <c r="P83" i="10"/>
  <c r="O83" i="10"/>
  <c r="N56" i="10"/>
  <c r="N54" i="10"/>
  <c r="O65" i="10"/>
  <c r="P61" i="10"/>
  <c r="N77" i="10"/>
  <c r="P65" i="10"/>
  <c r="O60" i="10"/>
  <c r="P52" i="10"/>
  <c r="O57" i="10"/>
  <c r="N52" i="10"/>
  <c r="N83" i="10"/>
  <c r="N53" i="10"/>
  <c r="N42" i="10"/>
  <c r="O64" i="10"/>
  <c r="P5" i="10"/>
  <c r="AJ19" i="11"/>
  <c r="S37" i="11"/>
  <c r="Q21" i="10" s="1"/>
  <c r="Q5" i="10"/>
  <c r="AK19" i="11"/>
  <c r="T19" i="11"/>
  <c r="U17" i="11"/>
  <c r="AG95" i="11"/>
  <c r="AF95" i="11"/>
  <c r="AF59" i="11"/>
  <c r="AF231" i="11"/>
  <c r="AG59" i="11"/>
  <c r="AF263" i="11"/>
  <c r="AG263" i="11"/>
  <c r="AG231" i="11"/>
  <c r="AE231" i="11"/>
  <c r="AE95" i="11"/>
  <c r="AD263" i="11"/>
  <c r="AD95" i="11"/>
  <c r="AE263" i="11"/>
  <c r="AD231" i="11"/>
  <c r="AE59" i="11"/>
  <c r="AD59" i="11"/>
  <c r="AH59" i="11"/>
  <c r="AH231" i="11"/>
  <c r="AL231" i="11"/>
  <c r="AN231" i="11"/>
  <c r="AM231" i="11"/>
  <c r="AI231" i="11"/>
  <c r="AK231" i="11"/>
  <c r="AJ231" i="11"/>
  <c r="AH95" i="11"/>
  <c r="AH263" i="11"/>
  <c r="AI263" i="11"/>
  <c r="AI95" i="11"/>
  <c r="AI59" i="11"/>
  <c r="AM59" i="11"/>
  <c r="AM263" i="11"/>
  <c r="AM95" i="11"/>
  <c r="AN95" i="11"/>
  <c r="AN59" i="11"/>
  <c r="AN263" i="11"/>
  <c r="AC98" i="11"/>
  <c r="AC106" i="11" s="1"/>
  <c r="AC233" i="11" s="1"/>
  <c r="AC270" i="11" s="1"/>
  <c r="AL263" i="11"/>
  <c r="AJ263" i="11"/>
  <c r="AJ95" i="11"/>
  <c r="AK263" i="11"/>
  <c r="AK95" i="11"/>
  <c r="AL95" i="11"/>
  <c r="AJ59" i="11"/>
  <c r="AK59" i="11"/>
  <c r="AL59" i="11"/>
  <c r="T37" i="11" a="1"/>
  <c r="U37" i="11" a="1"/>
  <c r="S50" i="11" l="1"/>
  <c r="BF50" i="11" s="1"/>
  <c r="BG102" i="11"/>
  <c r="W251" i="11"/>
  <c r="W249" i="11" s="1"/>
  <c r="S116" i="11"/>
  <c r="S117" i="11" s="1"/>
  <c r="BG239" i="11"/>
  <c r="W146" i="11"/>
  <c r="W144" i="11" s="1"/>
  <c r="S218" i="11"/>
  <c r="W218" i="11" s="1"/>
  <c r="W216" i="11" s="1"/>
  <c r="BF206" i="11"/>
  <c r="V153" i="11"/>
  <c r="BG266" i="11"/>
  <c r="V59" i="11"/>
  <c r="V85" i="11" s="1"/>
  <c r="BH266" i="11"/>
  <c r="BH226" i="11"/>
  <c r="S153" i="11"/>
  <c r="T117" i="11"/>
  <c r="BI185" i="11"/>
  <c r="BF180" i="11"/>
  <c r="V104" i="11"/>
  <c r="W104" i="11" s="1"/>
  <c r="W102" i="11" s="1"/>
  <c r="T59" i="11"/>
  <c r="T51" i="11" s="1"/>
  <c r="U223" i="11"/>
  <c r="U231" i="11" s="1"/>
  <c r="T95" i="11"/>
  <c r="BF254" i="11"/>
  <c r="BH201" i="11"/>
  <c r="BH191" i="11"/>
  <c r="U153" i="11"/>
  <c r="W256" i="11"/>
  <c r="W254" i="11" s="1"/>
  <c r="S170" i="11"/>
  <c r="S231" i="11" s="1"/>
  <c r="W180" i="11"/>
  <c r="W135" i="11"/>
  <c r="W133" i="11" s="1"/>
  <c r="V95" i="11"/>
  <c r="BF244" i="11"/>
  <c r="BI259" i="11"/>
  <c r="T153" i="11"/>
  <c r="W82" i="11"/>
  <c r="W44" i="11"/>
  <c r="W42" i="11" s="1"/>
  <c r="T125" i="11"/>
  <c r="W56" i="11"/>
  <c r="W54" i="11" s="1"/>
  <c r="W50" i="11"/>
  <c r="W48" i="11" s="1"/>
  <c r="M234" i="11"/>
  <c r="N234" i="11"/>
  <c r="Q234" i="11"/>
  <c r="R234" i="11"/>
  <c r="S160" i="11"/>
  <c r="W268" i="11"/>
  <c r="W266" i="11" s="1"/>
  <c r="BH268" i="11"/>
  <c r="V147" i="11"/>
  <c r="W141" i="11"/>
  <c r="W139" i="11" s="1"/>
  <c r="W198" i="11"/>
  <c r="W196" i="11" s="1"/>
  <c r="T263" i="11"/>
  <c r="W246" i="11"/>
  <c r="W244" i="11" s="1"/>
  <c r="V231" i="11"/>
  <c r="W165" i="11"/>
  <c r="W163" i="11" s="1"/>
  <c r="W92" i="11"/>
  <c r="T88" i="11"/>
  <c r="U88" i="11" s="1"/>
  <c r="V88" i="11" s="1"/>
  <c r="W208" i="11"/>
  <c r="W206" i="11" s="1"/>
  <c r="W203" i="11"/>
  <c r="W201" i="11" s="1"/>
  <c r="W228" i="11"/>
  <c r="W226" i="11" s="1"/>
  <c r="P234" i="11"/>
  <c r="W193" i="11"/>
  <c r="W191" i="11" s="1"/>
  <c r="W261" i="11"/>
  <c r="W259" i="11" s="1"/>
  <c r="U59" i="11"/>
  <c r="U93" i="11" s="1"/>
  <c r="W213" i="11"/>
  <c r="W211" i="11" s="1"/>
  <c r="O234" i="11"/>
  <c r="W175" i="11"/>
  <c r="W173" i="11" s="1"/>
  <c r="V45" i="11"/>
  <c r="V51" i="11"/>
  <c r="V176" i="11"/>
  <c r="V188" i="11"/>
  <c r="BG175" i="11"/>
  <c r="U80" i="11"/>
  <c r="V80" i="11" s="1"/>
  <c r="W83" i="11"/>
  <c r="S84" i="11"/>
  <c r="W84" i="11" s="1"/>
  <c r="K234" i="11"/>
  <c r="U95" i="11"/>
  <c r="U125" i="11"/>
  <c r="W124" i="11"/>
  <c r="V125" i="11"/>
  <c r="W181" i="11"/>
  <c r="W130" i="11"/>
  <c r="W75" i="11"/>
  <c r="S76" i="11"/>
  <c r="W76" i="11" s="1"/>
  <c r="W73" i="11" s="1"/>
  <c r="V263" i="11"/>
  <c r="W187" i="11"/>
  <c r="W185" i="11" s="1"/>
  <c r="S263" i="11"/>
  <c r="W241" i="11"/>
  <c r="W67" i="11"/>
  <c r="S68" i="11"/>
  <c r="T64" i="11"/>
  <c r="U64" i="11" s="1"/>
  <c r="V64" i="11" s="1"/>
  <c r="W152" i="11"/>
  <c r="U263" i="11"/>
  <c r="T231" i="11"/>
  <c r="W91" i="11"/>
  <c r="W159" i="11"/>
  <c r="BF261" i="11"/>
  <c r="BH173" i="11"/>
  <c r="BF251" i="11"/>
  <c r="BH198" i="11"/>
  <c r="BG173" i="11"/>
  <c r="BG104" i="11"/>
  <c r="BH150" i="11"/>
  <c r="BG196" i="11"/>
  <c r="BF123" i="11"/>
  <c r="BI261" i="11"/>
  <c r="BF201" i="11"/>
  <c r="BI76" i="11"/>
  <c r="BI84" i="11"/>
  <c r="BI135" i="11"/>
  <c r="BI56" i="11"/>
  <c r="BH68" i="11"/>
  <c r="BG146" i="11"/>
  <c r="BI249" i="11"/>
  <c r="BG128" i="11"/>
  <c r="BF115" i="11"/>
  <c r="BF49" i="11"/>
  <c r="BI179" i="11"/>
  <c r="BF152" i="11"/>
  <c r="BG185" i="11"/>
  <c r="BF202" i="11"/>
  <c r="BH48" i="11"/>
  <c r="BF43" i="11"/>
  <c r="BF169" i="11"/>
  <c r="BI221" i="11"/>
  <c r="BI48" i="11"/>
  <c r="BI122" i="11"/>
  <c r="BF212" i="11"/>
  <c r="BG130" i="11"/>
  <c r="BF239" i="11"/>
  <c r="BI266" i="11"/>
  <c r="BI43" i="11"/>
  <c r="BH114" i="11"/>
  <c r="BH157" i="11"/>
  <c r="BI81" i="11"/>
  <c r="BF192" i="11"/>
  <c r="BI50" i="11"/>
  <c r="BG201" i="11"/>
  <c r="BI54" i="11"/>
  <c r="BI139" i="11"/>
  <c r="BF217" i="11"/>
  <c r="BG122" i="11"/>
  <c r="BI92" i="11"/>
  <c r="BG49" i="11"/>
  <c r="BH50" i="11"/>
  <c r="BG268" i="11"/>
  <c r="BH44" i="11"/>
  <c r="BI191" i="11"/>
  <c r="BI89" i="11"/>
  <c r="BF216" i="11"/>
  <c r="BH54" i="11"/>
  <c r="S60" i="10"/>
  <c r="BG186" i="11"/>
  <c r="BI123" i="11"/>
  <c r="BG168" i="11"/>
  <c r="BF81" i="11"/>
  <c r="BG245" i="11"/>
  <c r="BG92" i="11"/>
  <c r="BG227" i="11"/>
  <c r="BF82" i="11"/>
  <c r="BI227" i="11"/>
  <c r="BF129" i="11"/>
  <c r="S63" i="10"/>
  <c r="BI133" i="11"/>
  <c r="BG68" i="11"/>
  <c r="BG44" i="11"/>
  <c r="S76" i="10"/>
  <c r="BI255" i="11"/>
  <c r="BH260" i="11"/>
  <c r="BH158" i="11"/>
  <c r="BG250" i="11"/>
  <c r="BI164" i="11"/>
  <c r="BH104" i="11"/>
  <c r="BF255" i="11"/>
  <c r="BI157" i="11"/>
  <c r="Q76" i="10"/>
  <c r="BH216" i="11"/>
  <c r="BH145" i="11"/>
  <c r="BF89" i="11"/>
  <c r="BH245" i="11"/>
  <c r="BF168" i="11"/>
  <c r="BH103" i="11"/>
  <c r="BH89" i="11"/>
  <c r="BG139" i="11"/>
  <c r="BF54" i="11"/>
  <c r="BF65" i="11"/>
  <c r="R60" i="10"/>
  <c r="BF141" i="11"/>
  <c r="BI146" i="11"/>
  <c r="BH256" i="11"/>
  <c r="R76" i="10"/>
  <c r="S55" i="10"/>
  <c r="BH187" i="11"/>
  <c r="Q79" i="10"/>
  <c r="BI187" i="11"/>
  <c r="BF66" i="11"/>
  <c r="BF164" i="11"/>
  <c r="BI168" i="11"/>
  <c r="BH42" i="11"/>
  <c r="BI218" i="11"/>
  <c r="BH249" i="11"/>
  <c r="BI251" i="11"/>
  <c r="BI211" i="11"/>
  <c r="BF249" i="11"/>
  <c r="BF150" i="11"/>
  <c r="BF185" i="11"/>
  <c r="BF240" i="11"/>
  <c r="BG144" i="11"/>
  <c r="BH228" i="11"/>
  <c r="BG165" i="11"/>
  <c r="BH122" i="11"/>
  <c r="BI216" i="11"/>
  <c r="T58" i="10"/>
  <c r="S58" i="10"/>
  <c r="R54" i="10"/>
  <c r="BH116" i="11"/>
  <c r="BI124" i="11"/>
  <c r="BH208" i="11"/>
  <c r="BH206" i="11"/>
  <c r="BF198" i="11"/>
  <c r="BF196" i="11"/>
  <c r="BF122" i="11"/>
  <c r="BF165" i="11"/>
  <c r="BF163" i="11"/>
  <c r="BG244" i="11"/>
  <c r="BG249" i="11"/>
  <c r="BF146" i="11"/>
  <c r="BF145" i="11"/>
  <c r="BF139" i="11"/>
  <c r="BF90" i="11"/>
  <c r="BH133" i="11"/>
  <c r="BH211" i="11"/>
  <c r="BF104" i="11"/>
  <c r="BF102" i="11"/>
  <c r="BI175" i="11"/>
  <c r="BI173" i="11"/>
  <c r="BF245" i="11"/>
  <c r="BF157" i="11"/>
  <c r="BG89" i="11"/>
  <c r="BH246" i="11"/>
  <c r="BH244" i="11"/>
  <c r="BF260" i="11"/>
  <c r="BH165" i="11"/>
  <c r="BH163" i="11"/>
  <c r="BI102" i="11"/>
  <c r="BF223" i="11"/>
  <c r="BF221" i="11"/>
  <c r="BG81" i="11"/>
  <c r="BH259" i="11"/>
  <c r="BI165" i="11"/>
  <c r="BI163" i="11"/>
  <c r="BF191" i="11"/>
  <c r="BH170" i="11"/>
  <c r="BH169" i="11"/>
  <c r="BF186" i="11"/>
  <c r="BI128" i="11"/>
  <c r="BG42" i="11"/>
  <c r="BF207" i="11"/>
  <c r="BI196" i="11"/>
  <c r="BI228" i="11"/>
  <c r="BI226" i="11"/>
  <c r="BF250" i="11"/>
  <c r="T62" i="10"/>
  <c r="BI213" i="11"/>
  <c r="BI159" i="11"/>
  <c r="BH84" i="11"/>
  <c r="BH81" i="11"/>
  <c r="T64" i="10"/>
  <c r="BI223" i="11"/>
  <c r="BG216" i="11"/>
  <c r="BG116" i="11"/>
  <c r="BG114" i="11"/>
  <c r="R52" i="10"/>
  <c r="BG157" i="11"/>
  <c r="BI150" i="11"/>
  <c r="BG56" i="11"/>
  <c r="BG54" i="11"/>
  <c r="BF114" i="11"/>
  <c r="BF135" i="11"/>
  <c r="BF133" i="11"/>
  <c r="BG141" i="11"/>
  <c r="BG193" i="11"/>
  <c r="BG191" i="11"/>
  <c r="BG261" i="11"/>
  <c r="BG259" i="11"/>
  <c r="BG206" i="11"/>
  <c r="BG181" i="11"/>
  <c r="BG179" i="11"/>
  <c r="BG65" i="11"/>
  <c r="BF55" i="11"/>
  <c r="S50" i="10"/>
  <c r="BH139" i="11"/>
  <c r="BI254" i="11"/>
  <c r="BI246" i="11"/>
  <c r="BI244" i="11"/>
  <c r="BG135" i="11"/>
  <c r="BG133" i="11"/>
  <c r="BG152" i="11"/>
  <c r="BG150" i="11"/>
  <c r="BI241" i="11"/>
  <c r="BI239" i="11"/>
  <c r="BF268" i="11"/>
  <c r="BF267" i="11"/>
  <c r="BF181" i="11"/>
  <c r="BF179" i="11"/>
  <c r="BH179" i="11"/>
  <c r="BF175" i="11"/>
  <c r="BF173" i="11"/>
  <c r="BG211" i="11"/>
  <c r="BF228" i="11"/>
  <c r="BF226" i="11"/>
  <c r="BG228" i="11"/>
  <c r="BG226" i="11"/>
  <c r="BG221" i="11"/>
  <c r="BI206" i="11"/>
  <c r="BG103" i="11"/>
  <c r="BF128" i="11"/>
  <c r="BH128" i="11"/>
  <c r="BH146" i="11"/>
  <c r="BH144" i="11"/>
  <c r="S59" i="10"/>
  <c r="S77" i="10"/>
  <c r="T76" i="10"/>
  <c r="Q59" i="10"/>
  <c r="R83" i="10"/>
  <c r="T60" i="10"/>
  <c r="S61" i="10"/>
  <c r="R79" i="10"/>
  <c r="S83" i="10"/>
  <c r="S27" i="10"/>
  <c r="T50" i="10"/>
  <c r="P50" i="10"/>
  <c r="N49" i="10"/>
  <c r="P71" i="10"/>
  <c r="P72" i="10" s="1"/>
  <c r="N81" i="10"/>
  <c r="R49" i="10"/>
  <c r="R55" i="10"/>
  <c r="T48" i="10"/>
  <c r="S78" i="10"/>
  <c r="Q65" i="10"/>
  <c r="T27" i="10"/>
  <c r="S52" i="10"/>
  <c r="N71" i="10"/>
  <c r="N72" i="10" s="1"/>
  <c r="P51" i="10"/>
  <c r="O71" i="10"/>
  <c r="O72" i="10" s="1"/>
  <c r="P48" i="10"/>
  <c r="O76" i="10"/>
  <c r="O81" i="10" s="1"/>
  <c r="N51" i="10"/>
  <c r="N50" i="10"/>
  <c r="N48" i="10"/>
  <c r="O25" i="10"/>
  <c r="O29" i="10" s="1"/>
  <c r="P76" i="10"/>
  <c r="P81" i="10" s="1"/>
  <c r="O48" i="10"/>
  <c r="N61" i="10"/>
  <c r="N25" i="10"/>
  <c r="N29" i="10" s="1"/>
  <c r="P25" i="10"/>
  <c r="P29" i="10" s="1"/>
  <c r="O55" i="10"/>
  <c r="Q26" i="10"/>
  <c r="R50" i="10"/>
  <c r="T49" i="10"/>
  <c r="S48" i="10"/>
  <c r="T54" i="10"/>
  <c r="T52" i="10"/>
  <c r="S25" i="10"/>
  <c r="AK37" i="11"/>
  <c r="T37" i="11"/>
  <c r="R21" i="10" s="1"/>
  <c r="R5" i="10"/>
  <c r="AL19" i="11"/>
  <c r="U37" i="11"/>
  <c r="S21" i="10" s="1"/>
  <c r="V17" i="11"/>
  <c r="AF98" i="11"/>
  <c r="AF106" i="11" s="1"/>
  <c r="AF233" i="11" s="1"/>
  <c r="AF270" i="11" s="1"/>
  <c r="AG98" i="11"/>
  <c r="AG106" i="11" s="1"/>
  <c r="AG233" i="11" s="1"/>
  <c r="AG270" i="11" s="1"/>
  <c r="AE98" i="11"/>
  <c r="AE106" i="11" s="1"/>
  <c r="AE233" i="11" s="1"/>
  <c r="AE270" i="11" s="1"/>
  <c r="AD98" i="11"/>
  <c r="AD106" i="11" s="1"/>
  <c r="AD233" i="11" s="1"/>
  <c r="AD270" i="11" s="1"/>
  <c r="AH98" i="11"/>
  <c r="AH106" i="11" s="1"/>
  <c r="AH233" i="11" s="1"/>
  <c r="AH270" i="11" s="1"/>
  <c r="AI98" i="11"/>
  <c r="AI106" i="11" s="1"/>
  <c r="AI233" i="11" s="1"/>
  <c r="AI270" i="11" s="1"/>
  <c r="AM98" i="11"/>
  <c r="AM106" i="11" s="1"/>
  <c r="AM233" i="11" s="1"/>
  <c r="AM270" i="11" s="1"/>
  <c r="AN98" i="11"/>
  <c r="AN106" i="11" s="1"/>
  <c r="AN233" i="11" s="1"/>
  <c r="AN270" i="11" s="1"/>
  <c r="AJ98" i="11"/>
  <c r="AJ106" i="11" s="1"/>
  <c r="AJ233" i="11" s="1"/>
  <c r="AJ270" i="11" s="1"/>
  <c r="AK98" i="11"/>
  <c r="AK106" i="11" s="1"/>
  <c r="AK233" i="11" s="1"/>
  <c r="AK270" i="11" s="1"/>
  <c r="AL98" i="11"/>
  <c r="AL106" i="11" s="1"/>
  <c r="AL233" i="11" s="1"/>
  <c r="AL270" i="11" s="1"/>
  <c r="I33" i="10"/>
  <c r="U19" i="11" a="1"/>
  <c r="V19" i="11" a="1"/>
  <c r="T57" i="11" l="1"/>
  <c r="V93" i="11"/>
  <c r="S59" i="11"/>
  <c r="S188" i="11" s="1"/>
  <c r="U188" i="11"/>
  <c r="W116" i="11"/>
  <c r="W114" i="11" s="1"/>
  <c r="S125" i="11"/>
  <c r="V182" i="11"/>
  <c r="V98" i="11"/>
  <c r="V99" i="11" s="1"/>
  <c r="S57" i="11"/>
  <c r="V77" i="11"/>
  <c r="T96" i="11"/>
  <c r="V69" i="11"/>
  <c r="V57" i="11"/>
  <c r="T77" i="11"/>
  <c r="V96" i="11"/>
  <c r="U69" i="11"/>
  <c r="W223" i="11"/>
  <c r="W221" i="11" s="1"/>
  <c r="T45" i="11"/>
  <c r="T69" i="11"/>
  <c r="W59" i="11"/>
  <c r="W45" i="11" s="1"/>
  <c r="BH223" i="11"/>
  <c r="W179" i="11"/>
  <c r="U51" i="11"/>
  <c r="T98" i="11"/>
  <c r="T106" i="11" s="1"/>
  <c r="T233" i="11" s="1"/>
  <c r="T270" i="11" s="1"/>
  <c r="U45" i="11"/>
  <c r="T85" i="11"/>
  <c r="W170" i="11"/>
  <c r="W168" i="11" s="1"/>
  <c r="T188" i="11"/>
  <c r="T176" i="11"/>
  <c r="T93" i="11"/>
  <c r="U77" i="11"/>
  <c r="T182" i="11"/>
  <c r="U176" i="11"/>
  <c r="Q54" i="10"/>
  <c r="U98" i="11"/>
  <c r="U106" i="11" s="1"/>
  <c r="U233" i="11" s="1"/>
  <c r="U270" i="11" s="1"/>
  <c r="U96" i="11"/>
  <c r="U85" i="11"/>
  <c r="U57" i="11"/>
  <c r="W89" i="11"/>
  <c r="W147" i="11"/>
  <c r="U182" i="11"/>
  <c r="W150" i="11"/>
  <c r="W153" i="11"/>
  <c r="W81" i="11"/>
  <c r="S95" i="11"/>
  <c r="W68" i="11"/>
  <c r="W160" i="11"/>
  <c r="W157" i="11"/>
  <c r="W239" i="11"/>
  <c r="W263" i="11"/>
  <c r="W122" i="11"/>
  <c r="W128" i="11"/>
  <c r="W136" i="11"/>
  <c r="W138" i="11" s="1"/>
  <c r="S69" i="11"/>
  <c r="BG76" i="11"/>
  <c r="T80" i="10"/>
  <c r="BF246" i="11"/>
  <c r="BG84" i="11"/>
  <c r="BF116" i="11"/>
  <c r="BF76" i="11"/>
  <c r="BG50" i="11"/>
  <c r="BF213" i="11"/>
  <c r="BF56" i="11"/>
  <c r="BF218" i="11"/>
  <c r="BF203" i="11"/>
  <c r="BF187" i="11"/>
  <c r="BF193" i="11"/>
  <c r="BI44" i="11"/>
  <c r="T26" i="10"/>
  <c r="S26" i="10"/>
  <c r="S29" i="10" s="1"/>
  <c r="BI181" i="11"/>
  <c r="T71" i="10"/>
  <c r="BI152" i="11"/>
  <c r="Q48" i="10"/>
  <c r="R48" i="10"/>
  <c r="BH175" i="11"/>
  <c r="S57" i="10"/>
  <c r="S42" i="10"/>
  <c r="BH203" i="11"/>
  <c r="R25" i="10"/>
  <c r="S79" i="10"/>
  <c r="R59" i="10"/>
  <c r="S65" i="10"/>
  <c r="S51" i="10"/>
  <c r="BH218" i="11"/>
  <c r="R53" i="10"/>
  <c r="T63" i="10"/>
  <c r="T78" i="10"/>
  <c r="S64" i="10"/>
  <c r="T57" i="10"/>
  <c r="BG198" i="11"/>
  <c r="BH135" i="11"/>
  <c r="BI268" i="11"/>
  <c r="BI116" i="11"/>
  <c r="BG213" i="11"/>
  <c r="BH152" i="11"/>
  <c r="BG203" i="11"/>
  <c r="BG241" i="11"/>
  <c r="BH241" i="11"/>
  <c r="BF124" i="11"/>
  <c r="BF256" i="11"/>
  <c r="BI68" i="11"/>
  <c r="BF170" i="11"/>
  <c r="BG124" i="11"/>
  <c r="BF84" i="11"/>
  <c r="Z241" i="11"/>
  <c r="AA241" i="11" s="1"/>
  <c r="BF241" i="11"/>
  <c r="S49" i="10"/>
  <c r="T51" i="10"/>
  <c r="T56" i="10"/>
  <c r="Q64" i="10"/>
  <c r="T77" i="10"/>
  <c r="T55" i="10"/>
  <c r="S71" i="10"/>
  <c r="T65" i="10"/>
  <c r="R58" i="10"/>
  <c r="R27" i="10"/>
  <c r="R56" i="10"/>
  <c r="Q83" i="10"/>
  <c r="BH159" i="11"/>
  <c r="R62" i="10"/>
  <c r="BI141" i="11"/>
  <c r="T83" i="10"/>
  <c r="Q42" i="10"/>
  <c r="Q53" i="10"/>
  <c r="Q50" i="10"/>
  <c r="U50" i="10" s="1"/>
  <c r="R61" i="10"/>
  <c r="BG208" i="11"/>
  <c r="R65" i="10"/>
  <c r="BF92" i="11"/>
  <c r="BF208" i="11"/>
  <c r="S53" i="10"/>
  <c r="BF44" i="11"/>
  <c r="R63" i="10"/>
  <c r="BG218" i="11"/>
  <c r="S56" i="10"/>
  <c r="BH181" i="11"/>
  <c r="R51" i="10"/>
  <c r="Q49" i="10"/>
  <c r="R77" i="10"/>
  <c r="BG246" i="11"/>
  <c r="Q60" i="10"/>
  <c r="U60" i="10" s="1"/>
  <c r="T53" i="10"/>
  <c r="Q71" i="10"/>
  <c r="Q72" i="10" s="1"/>
  <c r="R80" i="10"/>
  <c r="R64" i="10"/>
  <c r="BG223" i="11"/>
  <c r="T79" i="10"/>
  <c r="BI256" i="11"/>
  <c r="BI130" i="11"/>
  <c r="BF130" i="11"/>
  <c r="S62" i="10"/>
  <c r="BH213" i="11"/>
  <c r="T59" i="10"/>
  <c r="BI198" i="11"/>
  <c r="BG187" i="11"/>
  <c r="R57" i="10"/>
  <c r="BG159" i="11"/>
  <c r="S80" i="10"/>
  <c r="BH261" i="11"/>
  <c r="BF159" i="11"/>
  <c r="BH141" i="11"/>
  <c r="T42" i="10"/>
  <c r="BI104" i="11"/>
  <c r="T61" i="10"/>
  <c r="BI208" i="11"/>
  <c r="R71" i="10"/>
  <c r="R72" i="10" s="1"/>
  <c r="S54" i="10"/>
  <c r="BH130" i="11"/>
  <c r="R78" i="10"/>
  <c r="BG251" i="11"/>
  <c r="Q52" i="10"/>
  <c r="U52" i="10" s="1"/>
  <c r="T25" i="10"/>
  <c r="Q27" i="10"/>
  <c r="Q51" i="10"/>
  <c r="Q55" i="10"/>
  <c r="R33" i="10"/>
  <c r="Q57" i="10"/>
  <c r="U19" i="11"/>
  <c r="U117" i="11" s="1"/>
  <c r="Q56" i="10"/>
  <c r="Q61" i="10"/>
  <c r="Q77" i="10"/>
  <c r="R26" i="10"/>
  <c r="Q63" i="10"/>
  <c r="Q80" i="10"/>
  <c r="Q58" i="10"/>
  <c r="Q25" i="10"/>
  <c r="P67" i="10"/>
  <c r="Q62" i="10"/>
  <c r="R42" i="10"/>
  <c r="N67" i="10"/>
  <c r="O67" i="10"/>
  <c r="Q78" i="10"/>
  <c r="U76" i="10"/>
  <c r="Z198" i="11"/>
  <c r="AA198" i="11" s="1"/>
  <c r="Z193" i="11"/>
  <c r="AA193" i="11" s="1"/>
  <c r="Z208" i="11"/>
  <c r="AA208" i="11" s="1"/>
  <c r="AL37" i="11"/>
  <c r="AM37" i="11"/>
  <c r="V19" i="11"/>
  <c r="V117" i="11" s="1"/>
  <c r="J34" i="10"/>
  <c r="J33" i="10"/>
  <c r="J36" i="10"/>
  <c r="J35" i="10"/>
  <c r="I38" i="10"/>
  <c r="I40" i="10" s="1"/>
  <c r="I44" i="10" s="1"/>
  <c r="V37" i="11" a="1"/>
  <c r="W231" i="11" l="1"/>
  <c r="S182" i="11"/>
  <c r="S77" i="11"/>
  <c r="S85" i="11"/>
  <c r="S93" i="11"/>
  <c r="S45" i="11"/>
  <c r="S176" i="11"/>
  <c r="S51" i="11"/>
  <c r="V106" i="11"/>
  <c r="V233" i="11" s="1"/>
  <c r="V270" i="11" s="1"/>
  <c r="W125" i="11"/>
  <c r="W127" i="11" s="1"/>
  <c r="W188" i="11"/>
  <c r="W69" i="11"/>
  <c r="T99" i="11"/>
  <c r="W85" i="11"/>
  <c r="W93" i="11"/>
  <c r="W51" i="11"/>
  <c r="U54" i="10"/>
  <c r="W77" i="11"/>
  <c r="W176" i="11"/>
  <c r="W57" i="11"/>
  <c r="W182" i="11"/>
  <c r="U99" i="11"/>
  <c r="T234" i="11"/>
  <c r="U234" i="11"/>
  <c r="W95" i="11"/>
  <c r="W65" i="11"/>
  <c r="S98" i="11"/>
  <c r="S96" i="11"/>
  <c r="Z263" i="11"/>
  <c r="AA263" i="11" s="1"/>
  <c r="T29" i="10"/>
  <c r="U48" i="10"/>
  <c r="U59" i="10"/>
  <c r="U78" i="10"/>
  <c r="S81" i="10"/>
  <c r="U49" i="10"/>
  <c r="U55" i="10"/>
  <c r="Z256" i="11"/>
  <c r="AA256" i="11" s="1"/>
  <c r="U65" i="10"/>
  <c r="U58" i="10"/>
  <c r="U64" i="10"/>
  <c r="Z223" i="11"/>
  <c r="AA223" i="11" s="1"/>
  <c r="Z203" i="11"/>
  <c r="AA203" i="11" s="1"/>
  <c r="U51" i="10"/>
  <c r="BF68" i="11"/>
  <c r="S67" i="10"/>
  <c r="U62" i="10"/>
  <c r="R29" i="10"/>
  <c r="T81" i="10"/>
  <c r="R81" i="10"/>
  <c r="U83" i="10"/>
  <c r="Z261" i="11"/>
  <c r="AA261" i="11" s="1"/>
  <c r="R67" i="10"/>
  <c r="Z228" i="11"/>
  <c r="AA228" i="11" s="1"/>
  <c r="T67" i="10"/>
  <c r="U42" i="10"/>
  <c r="U63" i="10"/>
  <c r="U77" i="10"/>
  <c r="U27" i="10"/>
  <c r="U61" i="10"/>
  <c r="Z124" i="11"/>
  <c r="AA124" i="11" s="1"/>
  <c r="U80" i="10"/>
  <c r="U79" i="10"/>
  <c r="U53" i="10"/>
  <c r="U56" i="10"/>
  <c r="U57" i="10"/>
  <c r="Z159" i="11"/>
  <c r="AA159" i="11" s="1"/>
  <c r="Q29" i="10"/>
  <c r="Z246" i="11"/>
  <c r="AA246" i="11" s="1"/>
  <c r="AM19" i="11"/>
  <c r="S5" i="10"/>
  <c r="S72" i="10" s="1"/>
  <c r="Z181" i="11"/>
  <c r="AA181" i="11" s="1"/>
  <c r="Z170" i="11"/>
  <c r="AA170" i="11" s="1"/>
  <c r="U26" i="10"/>
  <c r="Z152" i="11"/>
  <c r="AA152" i="11" s="1"/>
  <c r="Z187" i="11"/>
  <c r="AA187" i="11" s="1"/>
  <c r="Z146" i="11"/>
  <c r="AA146" i="11" s="1"/>
  <c r="Z218" i="11"/>
  <c r="AA218" i="11" s="1"/>
  <c r="Z165" i="11"/>
  <c r="AA165" i="11" s="1"/>
  <c r="Z50" i="11"/>
  <c r="AA50" i="11" s="1"/>
  <c r="Z213" i="11"/>
  <c r="AA213" i="11" s="1"/>
  <c r="Z44" i="11"/>
  <c r="AA44" i="11" s="1"/>
  <c r="Z56" i="11"/>
  <c r="AA56" i="11" s="1"/>
  <c r="Z268" i="11"/>
  <c r="AA268" i="11" s="1"/>
  <c r="Z175" i="11"/>
  <c r="AA175" i="11" s="1"/>
  <c r="U25" i="10"/>
  <c r="Z135" i="11"/>
  <c r="AA135" i="11" s="1"/>
  <c r="Z251" i="11"/>
  <c r="AA251" i="11" s="1"/>
  <c r="Z104" i="11"/>
  <c r="AA104" i="11" s="1"/>
  <c r="Q67" i="10"/>
  <c r="Q81" i="10"/>
  <c r="V37" i="11"/>
  <c r="AN37" i="11" s="1"/>
  <c r="T5" i="10"/>
  <c r="W19" i="11"/>
  <c r="W117" i="11" s="1"/>
  <c r="AN19" i="11"/>
  <c r="L35" i="10"/>
  <c r="J38" i="10"/>
  <c r="J40" i="10" s="1"/>
  <c r="J44" i="10" s="1"/>
  <c r="J69" i="10" s="1"/>
  <c r="J85" i="10" s="1"/>
  <c r="V234" i="11" l="1"/>
  <c r="S106" i="11"/>
  <c r="S99" i="11"/>
  <c r="W98" i="11"/>
  <c r="W96" i="11"/>
  <c r="U81" i="10"/>
  <c r="U5" i="10"/>
  <c r="U29" i="10"/>
  <c r="Z59" i="11"/>
  <c r="AA59" i="11" s="1"/>
  <c r="Z231" i="11"/>
  <c r="AA231" i="11"/>
  <c r="T21" i="10"/>
  <c r="T72" i="10"/>
  <c r="Y19" i="11"/>
  <c r="Y117" i="11" s="1"/>
  <c r="L36" i="10"/>
  <c r="W106" i="11" l="1"/>
  <c r="W99" i="11"/>
  <c r="S233" i="11"/>
  <c r="S270" i="11" s="1"/>
  <c r="W5" i="10"/>
  <c r="W72" i="10" s="1"/>
  <c r="M36" i="10"/>
  <c r="W233" i="11" l="1"/>
  <c r="W270" i="11" s="1"/>
  <c r="S234" i="11"/>
  <c r="N33" i="10"/>
  <c r="O33" i="10"/>
  <c r="M35" i="10"/>
  <c r="N34" i="10"/>
  <c r="L34" i="10"/>
  <c r="M34" i="10"/>
  <c r="O36" i="10"/>
  <c r="W234" i="11" l="1"/>
  <c r="O35" i="10"/>
  <c r="O34" i="10"/>
  <c r="N35" i="10"/>
  <c r="M33" i="10"/>
  <c r="M38" i="10" s="1"/>
  <c r="M40" i="10" s="1"/>
  <c r="M44" i="10" s="1"/>
  <c r="M69" i="10" s="1"/>
  <c r="M85" i="10" s="1"/>
  <c r="N36" i="10"/>
  <c r="K33" i="10"/>
  <c r="K36" i="10"/>
  <c r="K34" i="10"/>
  <c r="K35" i="10"/>
  <c r="L33" i="10"/>
  <c r="L38" i="10" s="1"/>
  <c r="L40" i="10" s="1"/>
  <c r="L44" i="10" s="1"/>
  <c r="L69" i="10" s="1"/>
  <c r="L85" i="10" s="1"/>
  <c r="O38" i="10" l="1"/>
  <c r="O40" i="10" s="1"/>
  <c r="O44" i="10" s="1"/>
  <c r="O69" i="10" s="1"/>
  <c r="O85" i="10" s="1"/>
  <c r="N38" i="10"/>
  <c r="N40" i="10" s="1"/>
  <c r="N44" i="10" s="1"/>
  <c r="N69" i="10" s="1"/>
  <c r="N85" i="10" s="1"/>
  <c r="K38" i="10"/>
  <c r="K40" i="10" s="1"/>
  <c r="K44" i="10" s="1"/>
  <c r="K69" i="10" s="1"/>
  <c r="K85" i="10" s="1"/>
  <c r="Q35" i="10"/>
  <c r="Q36" i="10" l="1"/>
  <c r="Q34" i="10"/>
  <c r="P33" i="10" l="1"/>
  <c r="Q33" i="10"/>
  <c r="Q38" i="10" s="1"/>
  <c r="Q40" i="10" s="1"/>
  <c r="Q44" i="10" s="1"/>
  <c r="Q69" i="10" s="1"/>
  <c r="Q85" i="10" s="1"/>
  <c r="P34" i="10"/>
  <c r="P35" i="10"/>
  <c r="P36" i="10"/>
  <c r="Z84" i="11" l="1"/>
  <c r="AA84" i="11" s="1"/>
  <c r="T36" i="10"/>
  <c r="S36" i="10"/>
  <c r="S35" i="10"/>
  <c r="S34" i="10"/>
  <c r="P38" i="10"/>
  <c r="P40" i="10" s="1"/>
  <c r="P44" i="10" s="1"/>
  <c r="P69" i="10" s="1"/>
  <c r="P85" i="10" s="1"/>
  <c r="T34" i="10" l="1"/>
  <c r="Z76" i="11"/>
  <c r="AA76" i="11" s="1"/>
  <c r="Z68" i="11"/>
  <c r="AA68" i="11" s="1"/>
  <c r="R36" i="10"/>
  <c r="U36" i="10" s="1"/>
  <c r="S33" i="10"/>
  <c r="S38" i="10" s="1"/>
  <c r="S40" i="10" s="1"/>
  <c r="S44" i="10" s="1"/>
  <c r="S69" i="10" s="1"/>
  <c r="S85" i="10" s="1"/>
  <c r="R34" i="10"/>
  <c r="R35" i="10"/>
  <c r="T35" i="10"/>
  <c r="U34" i="10" l="1"/>
  <c r="Z92" i="11"/>
  <c r="AA92" i="11" s="1"/>
  <c r="U35" i="10"/>
  <c r="T33" i="10"/>
  <c r="T38" i="10" s="1"/>
  <c r="T40" i="10" s="1"/>
  <c r="T44" i="10" s="1"/>
  <c r="T69" i="10" s="1"/>
  <c r="T85" i="10" s="1"/>
  <c r="R38" i="10"/>
  <c r="R40" i="10" s="1"/>
  <c r="R44" i="10" s="1"/>
  <c r="R69" i="10" s="1"/>
  <c r="R85" i="10" s="1"/>
  <c r="Z98" i="11" l="1"/>
  <c r="AA98" i="11" s="1"/>
  <c r="Z95" i="11"/>
  <c r="AA95" i="11" s="1"/>
  <c r="Z106" i="11"/>
  <c r="AA106" i="11" s="1"/>
  <c r="U33" i="10"/>
  <c r="U38" i="10" s="1"/>
  <c r="U40" i="10" s="1"/>
  <c r="U44" i="10" s="1"/>
  <c r="Z270" i="11" l="1"/>
  <c r="AA270" i="11" s="1"/>
  <c r="Z233" i="11"/>
  <c r="AA233" i="11" s="1"/>
  <c r="Z138" i="11" l="1"/>
  <c r="AA138" i="11" s="1"/>
  <c r="Z130" i="11"/>
  <c r="AA130" i="11" s="1"/>
  <c r="Z112" i="11" l="1"/>
  <c r="I71" i="10"/>
  <c r="Z141" i="11" l="1"/>
  <c r="AA141" i="11" s="1"/>
  <c r="Z116" i="11"/>
  <c r="AA116" i="11" s="1"/>
  <c r="U71" i="10"/>
  <c r="U72" i="10" s="1"/>
  <c r="I72" i="10"/>
  <c r="U67" i="10"/>
  <c r="U69" i="10" s="1"/>
  <c r="U85" i="10" s="1"/>
  <c r="I67" i="10"/>
  <c r="I69" i="10" s="1"/>
  <c r="I85" i="10" s="1"/>
  <c r="Z127" i="11" l="1"/>
  <c r="AA127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<sst xmlns="http://schemas.openxmlformats.org/spreadsheetml/2006/main" count="1367" uniqueCount="578">
  <si>
    <t>Purpose</t>
  </si>
  <si>
    <t>Configuration</t>
  </si>
  <si>
    <t>Freeze Pane (Variables sheet)</t>
  </si>
  <si>
    <t>Description</t>
  </si>
  <si>
    <t>Value</t>
  </si>
  <si>
    <t>CALENDAR</t>
  </si>
  <si>
    <t>WorkbookSettings</t>
  </si>
  <si>
    <t>Control_Sheet</t>
  </si>
  <si>
    <t>Control Sheet Version Information</t>
  </si>
  <si>
    <t>[SheetControlColumn]</t>
  </si>
  <si>
    <t>[DateAdded]</t>
  </si>
  <si>
    <t>Date added</t>
  </si>
  <si>
    <t>[DateUpdated]</t>
  </si>
  <si>
    <t>Date updated</t>
  </si>
  <si>
    <t>Control_Sheet version</t>
  </si>
  <si>
    <t>(enter sheet name above)</t>
  </si>
  <si>
    <t>Save To Database Setup</t>
  </si>
  <si>
    <t>[SAVETYPE1ENABLED]</t>
  </si>
  <si>
    <t>Save Type 1 Enabled</t>
  </si>
  <si>
    <t>Off</t>
  </si>
  <si>
    <t>[ZEROONSAVEENABLED]</t>
  </si>
  <si>
    <t>Zero on save enabled</t>
  </si>
  <si>
    <t>[DISABLEDOCIDDURINGZERO]</t>
  </si>
  <si>
    <t>(advanced) Disable DocID During Zero</t>
  </si>
  <si>
    <t>[ZEROTAGVALUE]</t>
  </si>
  <si>
    <t>(advanced) ZeroTag Value</t>
  </si>
  <si>
    <t>[ZEROTAGCOLUMNNAME]</t>
  </si>
  <si>
    <t>(advanced) Custom ZeroTag Column</t>
  </si>
  <si>
    <t>[SAVETYPE3ENABLED]</t>
  </si>
  <si>
    <t>Save Type 3 Enabled</t>
  </si>
  <si>
    <t>[SAVETYPE3TABLENAME]</t>
  </si>
  <si>
    <t>Table Name for Save Type 3</t>
  </si>
  <si>
    <t>[SAVETYPE3FOLDERPATH]</t>
  </si>
  <si>
    <t>Table Folder for Save Type 3</t>
  </si>
  <si>
    <t>[SAVETYPE4ENABLED]</t>
  </si>
  <si>
    <t>Save Type 4 Enabled</t>
  </si>
  <si>
    <t/>
  </si>
  <si>
    <t>Workbook Options</t>
  </si>
  <si>
    <t>[WorkbookProtection]</t>
  </si>
  <si>
    <t>Workbook Protection On/Off</t>
  </si>
  <si>
    <t>[WorkbookProtectionInSnapshot]</t>
  </si>
  <si>
    <t>Workbook Protection On/Off during snapshot</t>
  </si>
  <si>
    <t>[WorkbookRestrictedToReadOnly]</t>
  </si>
  <si>
    <t>Downgrade to read-only on open</t>
  </si>
  <si>
    <t>[ProcessAlertsOnSaveData]</t>
  </si>
  <si>
    <t>Process alerts on save data</t>
  </si>
  <si>
    <t>[ProcessAlertsOnSaveDocument]</t>
  </si>
  <si>
    <t>Process alerts on save document</t>
  </si>
  <si>
    <t>[AssociatedTaskPane]</t>
  </si>
  <si>
    <t>Associated Task Pane</t>
  </si>
  <si>
    <t>Sheet Options</t>
  </si>
  <si>
    <t>[SHEETHIDE]</t>
  </si>
  <si>
    <t>Sheet Visible/ Hidden</t>
  </si>
  <si>
    <t>Visible</t>
  </si>
  <si>
    <t>[SHEETPROTECT]</t>
  </si>
  <si>
    <t>Sheet Protection On/Off</t>
  </si>
  <si>
    <t>[SHEETPROTECTINSNAPSHOT]</t>
  </si>
  <si>
    <t>Sheet Protection On/Off during snapshot</t>
  </si>
  <si>
    <t>[SHEETFREEZE]</t>
  </si>
  <si>
    <t>Freeze Panes (e.g. B5:D8)</t>
  </si>
  <si>
    <t>[ActiveCellOnOpen]</t>
  </si>
  <si>
    <t>Active Cell (selected on open)</t>
  </si>
  <si>
    <t>[ApplyViewOnOpen]</t>
  </si>
  <si>
    <t>Initial Dynamic View (view on open)</t>
  </si>
  <si>
    <t>[SHEETVIEW]</t>
  </si>
  <si>
    <t>Current Dynamic View</t>
  </si>
  <si>
    <t>[AXIOMDOUBLECLICK]</t>
  </si>
  <si>
    <t>Axiom Double-Click</t>
  </si>
  <si>
    <t>Data/Zero Options</t>
  </si>
  <si>
    <t>[RefreshDataFormulasOnOpen]</t>
  </si>
  <si>
    <t>Refresh all Axiom functions on open</t>
  </si>
  <si>
    <t>On</t>
  </si>
  <si>
    <t>[ZeroDataFormulasOnSave]</t>
  </si>
  <si>
    <t>Convert Axiom function results to zero on save</t>
  </si>
  <si>
    <t>[RefreshFormsRunBehavior]</t>
  </si>
  <si>
    <t>Refresh Forms Run Behavior</t>
  </si>
  <si>
    <t>[RefreshCSBetweenAQs]</t>
  </si>
  <si>
    <t>Refresh Control Sheet between every AQ</t>
  </si>
  <si>
    <t>[ZeroAQFormulasOnSave]</t>
  </si>
  <si>
    <t>Convert Axiom Query results to zero on save</t>
  </si>
  <si>
    <t>[AQPARSEALLSUBRANGES]</t>
  </si>
  <si>
    <t>Enable full AQ query validation mode</t>
  </si>
  <si>
    <t>Sheet Filters</t>
  </si>
  <si>
    <t>Sheet Filter Type</t>
  </si>
  <si>
    <t>Table or Table Type</t>
  </si>
  <si>
    <t>Filter</t>
  </si>
  <si>
    <t>[SheetFilter1]</t>
  </si>
  <si>
    <t>[SheetFilter2]</t>
  </si>
  <si>
    <t>[SheetFilter3]</t>
  </si>
  <si>
    <t>[SheetFilter4]</t>
  </si>
  <si>
    <t>[SheetFilter5]</t>
  </si>
  <si>
    <t>[AQ1]</t>
  </si>
  <si>
    <t>[NAME]</t>
  </si>
  <si>
    <t>Name (used in Plan Refresh utility)</t>
  </si>
  <si>
    <t>[ACTIVATE]</t>
  </si>
  <si>
    <t>Active</t>
  </si>
  <si>
    <t>Query Details</t>
  </si>
  <si>
    <t>[TABLES]</t>
  </si>
  <si>
    <t xml:space="preserve">    Primary Table</t>
  </si>
  <si>
    <t>[GROUPROWSBY]</t>
  </si>
  <si>
    <t xml:space="preserve">    Sum data by these columns (e.g. Table.field;Table.field)</t>
  </si>
  <si>
    <t>[DATASORT]</t>
  </si>
  <si>
    <t xml:space="preserve">    Sort by database columns (e.g. Table.field asc;Table.field desc)</t>
  </si>
  <si>
    <t>[EXCELSORT]</t>
  </si>
  <si>
    <t xml:space="preserve">    Sort results by these columns (e.g. C asc;D desc)</t>
  </si>
  <si>
    <t>[WHERE]</t>
  </si>
  <si>
    <t xml:space="preserve">    Data Filter</t>
  </si>
  <si>
    <t>[PREQUERYFILTER]</t>
  </si>
  <si>
    <t xml:space="preserve">    Limit query data based on another table (advanced)</t>
  </si>
  <si>
    <t>[POSTQUERYFILTER]</t>
  </si>
  <si>
    <t xml:space="preserve">    Post Query Filter (advanced)</t>
  </si>
  <si>
    <t>[POSTQUERYGROUPBY]</t>
  </si>
  <si>
    <t xml:space="preserve">    Post Query Sum By (advanced)</t>
  </si>
  <si>
    <t>[SUPPRESS]</t>
  </si>
  <si>
    <t xml:space="preserve">    Suppress records with zero values</t>
  </si>
  <si>
    <t>[MAXAQROWS]</t>
  </si>
  <si>
    <t xml:space="preserve">    Max row warning threshold (leave blank for system default)</t>
  </si>
  <si>
    <t>[TOPNAQROWS]</t>
  </si>
  <si>
    <t xml:space="preserve">    Limit query to top "n" results</t>
  </si>
  <si>
    <t>Display / User Interaction Options</t>
  </si>
  <si>
    <t>[INSERTIONMETHODOLOGY]</t>
  </si>
  <si>
    <t xml:space="preserve">    Insertion Behavior</t>
  </si>
  <si>
    <t>Insert</t>
  </si>
  <si>
    <t>[USESPREADSHEETGROUPLINES]</t>
  </si>
  <si>
    <t xml:space="preserve">    Apply grouping to data ranges</t>
  </si>
  <si>
    <t>[ISHORIZONTALINSERT]</t>
  </si>
  <si>
    <t xml:space="preserve">    Change orientation to horizontal</t>
  </si>
  <si>
    <t>[Drillable]</t>
  </si>
  <si>
    <t xml:space="preserve">    Drillable</t>
  </si>
  <si>
    <t>Vertical Configuration</t>
  </si>
  <si>
    <t>Control Rows and Columns</t>
  </si>
  <si>
    <t>[FIELDDEFINITIONROWS]</t>
  </si>
  <si>
    <t>Field Definition Row(s)</t>
  </si>
  <si>
    <t>3:3</t>
  </si>
  <si>
    <t>[INSERTIONCONTROLCOL]</t>
  </si>
  <si>
    <t>Insert Control Column with start/stop tag</t>
  </si>
  <si>
    <t>A</t>
  </si>
  <si>
    <t>[DATACONTROLCOLUMN]</t>
  </si>
  <si>
    <t>Internal Data Control Column</t>
  </si>
  <si>
    <t>Calculation Methods</t>
  </si>
  <si>
    <t>[INSHEETCMROWS]</t>
  </si>
  <si>
    <t>In-Sheet Calc Method Row(s) - Vertical AQ</t>
  </si>
  <si>
    <t>4:4</t>
  </si>
  <si>
    <t>OR</t>
  </si>
  <si>
    <t>[ASSIGNCMS]</t>
  </si>
  <si>
    <t>Assign from data field (table.field) - plan files only</t>
  </si>
  <si>
    <t>AND / OR</t>
  </si>
  <si>
    <t>Assign from Sheet - plan files only</t>
  </si>
  <si>
    <t>[AssignCMsExcelAQKeyColumn]</t>
  </si>
  <si>
    <t>Key column name (e.g. Acct)</t>
  </si>
  <si>
    <t>[AssignCMsExcelSheetName]</t>
  </si>
  <si>
    <t>Sheet Name</t>
  </si>
  <si>
    <t>[AssignCMsExcelKeyColumn]</t>
  </si>
  <si>
    <t>Key column in sheet</t>
  </si>
  <si>
    <t>[AssignCMsExcelValueColumn]</t>
  </si>
  <si>
    <t>CM Assignment column in sheet</t>
  </si>
  <si>
    <t>[DEFAULTCM]</t>
  </si>
  <si>
    <t>Default Calc Method - plan files only</t>
  </si>
  <si>
    <t>Horizontal Configuration</t>
  </si>
  <si>
    <t xml:space="preserve">    Control Rows and Columns</t>
  </si>
  <si>
    <t>[FIELDDEFINITIONCOLUMNS]</t>
  </si>
  <si>
    <t xml:space="preserve">        Field Definition Column(s)</t>
  </si>
  <si>
    <t>[INSERTIONCONTROLROW]</t>
  </si>
  <si>
    <t xml:space="preserve">        Insert Control Row with [AQ1]</t>
  </si>
  <si>
    <t xml:space="preserve">   Calculation Methods</t>
  </si>
  <si>
    <t>[INSHEETCMCOLUMNS]</t>
  </si>
  <si>
    <t xml:space="preserve">        In-Sheet Calc Method Column(s) - Horizontal AQ</t>
  </si>
  <si>
    <t>Refresh behavior</t>
  </si>
  <si>
    <t>[REFRESHONMANUALREFRESH]</t>
  </si>
  <si>
    <t>Refresh on manual refresh</t>
  </si>
  <si>
    <t>[REFRESHONPROCESSDOCUMENT]</t>
  </si>
  <si>
    <t>Refresh during document processing</t>
  </si>
  <si>
    <t>[REFRESHONOPEN]</t>
  </si>
  <si>
    <t>Refresh on file open</t>
  </si>
  <si>
    <t>[REFRESHBEFOREMULTIPASS]</t>
  </si>
  <si>
    <t>Refresh once before multipass processing (advanced)</t>
  </si>
  <si>
    <t>[REFRESHAFTERSAVEDATA]</t>
  </si>
  <si>
    <t>Refresh after save data</t>
  </si>
  <si>
    <t>[REBUILD]</t>
  </si>
  <si>
    <t>Rebuild Data Ranges</t>
  </si>
  <si>
    <t>[ZERO]</t>
  </si>
  <si>
    <t xml:space="preserve">   Zero data before update</t>
  </si>
  <si>
    <t>[UPDATE]</t>
  </si>
  <si>
    <t xml:space="preserve">   Update existing data</t>
  </si>
  <si>
    <t>[INSERT]</t>
  </si>
  <si>
    <t xml:space="preserve">   Insert new records</t>
  </si>
  <si>
    <t>Data Conversion</t>
  </si>
  <si>
    <t>[CurConvTarget]</t>
  </si>
  <si>
    <t xml:space="preserve">       Conversion Target (e.g. USD)</t>
  </si>
  <si>
    <t>[CurConvScenario]</t>
  </si>
  <si>
    <t xml:space="preserve">       Conversion Scenario Override (overrides default setting from table)</t>
  </si>
  <si>
    <t>[CurConvType]</t>
  </si>
  <si>
    <t xml:space="preserve">       Conversion Type Override (overrides default setting from table)</t>
  </si>
  <si>
    <t>[AQ2]</t>
  </si>
  <si>
    <t>5:5</t>
  </si>
  <si>
    <t>B</t>
  </si>
  <si>
    <t>6:6</t>
  </si>
  <si>
    <t xml:space="preserve">   Rebuild Data Ranges</t>
  </si>
  <si>
    <t>(if you need more Axiom Queries, you can use</t>
  </si>
  <si>
    <t>the Sheet Assistant to add more)</t>
  </si>
  <si>
    <t>Report Variables</t>
  </si>
  <si>
    <t>Current Period</t>
  </si>
  <si>
    <t>Text for Current Period</t>
  </si>
  <si>
    <t>Current Year</t>
  </si>
  <si>
    <t>Organization Name</t>
  </si>
  <si>
    <t>Current Month 1</t>
  </si>
  <si>
    <t>Current Month 2</t>
  </si>
  <si>
    <t>FILTERS</t>
  </si>
  <si>
    <t>Budget</t>
  </si>
  <si>
    <t>Variance</t>
  </si>
  <si>
    <t>Var %</t>
  </si>
  <si>
    <t>Total</t>
  </si>
  <si>
    <t>DEPT</t>
  </si>
  <si>
    <t>This is a save to database report used to make adjustments to the current year forecast</t>
  </si>
  <si>
    <t>Requires the prior execution of the Process Monthly Forecast Utility</t>
  </si>
  <si>
    <t>Statement Area</t>
  </si>
  <si>
    <t>ACCT</t>
  </si>
  <si>
    <t>Revenues</t>
  </si>
  <si>
    <t>Inpatient Revenue</t>
  </si>
  <si>
    <t>Outpatient Revenue</t>
  </si>
  <si>
    <t>Other Patient Revenue</t>
  </si>
  <si>
    <t>Total Patient Revenue</t>
  </si>
  <si>
    <t>Deductions From Revenue</t>
  </si>
  <si>
    <t>Contractual Allowances</t>
  </si>
  <si>
    <t>Other Discounts</t>
  </si>
  <si>
    <t>Charity Services</t>
  </si>
  <si>
    <t>Bad Debt</t>
  </si>
  <si>
    <t xml:space="preserve">   Total Deductions</t>
  </si>
  <si>
    <t>Net Patient Revenue</t>
  </si>
  <si>
    <t>Other Operating Revenue</t>
  </si>
  <si>
    <t xml:space="preserve">   Total Revenues</t>
  </si>
  <si>
    <t>Expenses</t>
  </si>
  <si>
    <t>Salaries &amp; Wages</t>
  </si>
  <si>
    <t>Benefits</t>
  </si>
  <si>
    <t>Contract Labor</t>
  </si>
  <si>
    <t>Professional Fees</t>
  </si>
  <si>
    <t>Purchased Services</t>
  </si>
  <si>
    <t>Medical Supplies</t>
  </si>
  <si>
    <t>Drugs</t>
  </si>
  <si>
    <t>Other Supplies</t>
  </si>
  <si>
    <t>Depreciation &amp; Amortization</t>
  </si>
  <si>
    <t>Lease &amp; Rental</t>
  </si>
  <si>
    <t>Maintenance &amp; Repairs</t>
  </si>
  <si>
    <t>Utilities</t>
  </si>
  <si>
    <t>Insurance</t>
  </si>
  <si>
    <t>Interest</t>
  </si>
  <si>
    <t>Other Expenses</t>
  </si>
  <si>
    <t>Total Expenses</t>
  </si>
  <si>
    <t>Excess Revenues Over Expenses from Operations</t>
  </si>
  <si>
    <t>Paid Hours</t>
  </si>
  <si>
    <t>Non-Operating Revenue &amp; Expenses</t>
  </si>
  <si>
    <t>Unrestricted Contributions</t>
  </si>
  <si>
    <t>Other NonOperating Revenue\Expense</t>
  </si>
  <si>
    <t>Investment Income</t>
  </si>
  <si>
    <t>Interest Income</t>
  </si>
  <si>
    <t>Gain(Loss) on Sale of Assets</t>
  </si>
  <si>
    <t>Total - Non-Operating Revenue</t>
  </si>
  <si>
    <t>Extraordinary Item</t>
  </si>
  <si>
    <t>Excess of Revenue Over Expense</t>
  </si>
  <si>
    <t>Or customize for each variable section.</t>
  </si>
  <si>
    <t>Sequential Month</t>
  </si>
  <si>
    <t>Inpatient Statistics</t>
  </si>
  <si>
    <t>Outpatient Statistics</t>
  </si>
  <si>
    <t>Other Statistics</t>
  </si>
  <si>
    <t>Key Statistics</t>
  </si>
  <si>
    <t>Calendar Days</t>
  </si>
  <si>
    <t>Save To Database Columns&gt;&gt;</t>
  </si>
  <si>
    <t>Monthly Summary Forecast</t>
  </si>
  <si>
    <t>PatientRevenue</t>
  </si>
  <si>
    <t xml:space="preserve">   Inpatient Revenue</t>
  </si>
  <si>
    <t xml:space="preserve">   Outpatient Revenue</t>
  </si>
  <si>
    <t xml:space="preserve">   Other Patient Revenue</t>
  </si>
  <si>
    <t xml:space="preserve">   Total Patient Revenue</t>
  </si>
  <si>
    <t xml:space="preserve">   Contractual Allowances</t>
  </si>
  <si>
    <t xml:space="preserve">   Other Discounts</t>
  </si>
  <si>
    <t xml:space="preserve">   Charity Services</t>
  </si>
  <si>
    <t xml:space="preserve">   Bad Debt</t>
  </si>
  <si>
    <t xml:space="preserve">   Other Operating Revenue</t>
  </si>
  <si>
    <t>Expense</t>
  </si>
  <si>
    <t xml:space="preserve">   Salaries &amp; Wages</t>
  </si>
  <si>
    <t xml:space="preserve">   Benefits</t>
  </si>
  <si>
    <t xml:space="preserve">   Contract Labor</t>
  </si>
  <si>
    <t xml:space="preserve">   Professional Fees</t>
  </si>
  <si>
    <t xml:space="preserve">   Purchased Services</t>
  </si>
  <si>
    <t xml:space="preserve">   Medical Supplies</t>
  </si>
  <si>
    <t xml:space="preserve">   Drugs</t>
  </si>
  <si>
    <t xml:space="preserve">   Other Supplies</t>
  </si>
  <si>
    <t xml:space="preserve">   Depreciation &amp; Amortization</t>
  </si>
  <si>
    <t xml:space="preserve">   Lease &amp; Rental</t>
  </si>
  <si>
    <t xml:space="preserve">   Maintenance &amp; Repairs</t>
  </si>
  <si>
    <t xml:space="preserve">   Utilities</t>
  </si>
  <si>
    <t xml:space="preserve">   Insurance</t>
  </si>
  <si>
    <t xml:space="preserve">   Interest</t>
  </si>
  <si>
    <t xml:space="preserve">   Other Expenses</t>
  </si>
  <si>
    <t>Total Paid FTEs</t>
  </si>
  <si>
    <t xml:space="preserve">   Unrestricted Contributions</t>
  </si>
  <si>
    <t xml:space="preserve">   Other NonOperating Revenue\Expense</t>
  </si>
  <si>
    <t xml:space="preserve">   Investment Income</t>
  </si>
  <si>
    <t xml:space="preserve">   Interest Income</t>
  </si>
  <si>
    <t xml:space="preserve">   Gain(Loss) on Sale of Assets</t>
  </si>
  <si>
    <t xml:space="preserve">  Extraordinary Item</t>
  </si>
  <si>
    <t>Actual Data vs Forecast</t>
  </si>
  <si>
    <t>CYF1</t>
  </si>
  <si>
    <t>CYF2</t>
  </si>
  <si>
    <t>CYF3</t>
  </si>
  <si>
    <t>CYF4</t>
  </si>
  <si>
    <t>CYF5</t>
  </si>
  <si>
    <t>CYF6</t>
  </si>
  <si>
    <t>CYF7</t>
  </si>
  <si>
    <t>CYF8</t>
  </si>
  <si>
    <t>CYF9</t>
  </si>
  <si>
    <t>CYF10</t>
  </si>
  <si>
    <t>CYF11</t>
  </si>
  <si>
    <t>CYF12</t>
  </si>
  <si>
    <t>Summary Forecast Adjustment Utility</t>
  </si>
  <si>
    <t xml:space="preserve">SAVE TO DATABASE AREA - &gt; - &gt; </t>
  </si>
  <si>
    <t>Forecast</t>
  </si>
  <si>
    <t>MonthlyFcstAdj</t>
  </si>
  <si>
    <t>Control</t>
  </si>
  <si>
    <t>AQ1: Dept</t>
  </si>
  <si>
    <t>Dept.Description</t>
  </si>
  <si>
    <t>Acct.Description</t>
  </si>
  <si>
    <t>CY Forecast Table</t>
  </si>
  <si>
    <t>CY Actual Table</t>
  </si>
  <si>
    <t>CY Actual Tables</t>
  </si>
  <si>
    <t>CY Budget Table</t>
  </si>
  <si>
    <t>ACCT.FSDetail.FSDETAIL</t>
  </si>
  <si>
    <t>R_IPRev</t>
  </si>
  <si>
    <t>% Adjustment</t>
  </si>
  <si>
    <t>Amount Adjustment</t>
  </si>
  <si>
    <t>R_OPRev</t>
  </si>
  <si>
    <t>R_OthPtRev</t>
  </si>
  <si>
    <t>D_Contractual</t>
  </si>
  <si>
    <t>% of Total Patient Revenue</t>
  </si>
  <si>
    <t>D_Discounts</t>
  </si>
  <si>
    <t>D_Charity</t>
  </si>
  <si>
    <t>D_BadDebt</t>
  </si>
  <si>
    <t>R_OtherRev</t>
  </si>
  <si>
    <t>E_Salaries</t>
  </si>
  <si>
    <t>E_Benefits</t>
  </si>
  <si>
    <t>E_SalariesContract</t>
  </si>
  <si>
    <t>E_ProFees</t>
  </si>
  <si>
    <t>E_PurchSvcs</t>
  </si>
  <si>
    <t>E_MedSupplies</t>
  </si>
  <si>
    <t>E_Drugs</t>
  </si>
  <si>
    <t>E_OthSupplies</t>
  </si>
  <si>
    <t>E_Depreciation</t>
  </si>
  <si>
    <t>E_RentLease</t>
  </si>
  <si>
    <t>E_MaintRepairs</t>
  </si>
  <si>
    <t>E_Utilities</t>
  </si>
  <si>
    <t>E_Insurance</t>
  </si>
  <si>
    <t>E_Interest</t>
  </si>
  <si>
    <t>E_BadDebt</t>
  </si>
  <si>
    <t>E_OtherExp</t>
  </si>
  <si>
    <t>PaidHours</t>
  </si>
  <si>
    <t>R_NonOpContrib</t>
  </si>
  <si>
    <t>R_NonOpRev</t>
  </si>
  <si>
    <t>R_NonOpInvest</t>
  </si>
  <si>
    <t>R_NonOpInterest</t>
  </si>
  <si>
    <t>R_NonOpGainLoss</t>
  </si>
  <si>
    <t>R_NonOpExtraord</t>
  </si>
  <si>
    <t>[Stop]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</si>
  <si>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</si>
  <si>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</si>
  <si>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</si>
  <si>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</si>
  <si>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</si>
  <si>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</si>
  <si>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</si>
  <si>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</si>
  <si>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</si>
  <si>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</si>
  <si>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</si>
  <si>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</si>
  <si>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Summary</t>
  </si>
  <si>
    <t>D17:F22</t>
  </si>
  <si>
    <t>[View;All]</t>
  </si>
  <si>
    <t>[View;Default]</t>
  </si>
  <si>
    <t>[HideColumn]</t>
  </si>
  <si>
    <t>SaveTagCustom</t>
  </si>
  <si>
    <t>InitiativeID</t>
  </si>
  <si>
    <t>Instructions</t>
  </si>
  <si>
    <t>Control Tab: Provide Dept &amp; Acct Numbers to post incremental changes to for each category</t>
  </si>
  <si>
    <t>Refresh the Report Data - Select "Refresh Data" on the KH Main ribbon</t>
  </si>
  <si>
    <t>[actioncodes]</t>
  </si>
  <si>
    <t>[CloseROWorkbookWithoutSavePrompt]</t>
  </si>
  <si>
    <t>Close read-only files without prompting to save</t>
  </si>
  <si>
    <t>Views</t>
  </si>
  <si>
    <t>[ApplyColumnViewsOnOpen]</t>
  </si>
  <si>
    <t>Initial Dynamic Column Views (view on open)</t>
  </si>
  <si>
    <t>[ApplyRowViewsOnOpen]</t>
  </si>
  <si>
    <t>Initial Dynamic Row Views (view on open)</t>
  </si>
  <si>
    <t>[SHEETCOLUMNVIEWS]</t>
  </si>
  <si>
    <t>Current Dynamic Column Views</t>
  </si>
  <si>
    <t>[SHEETROWVIEWS]</t>
  </si>
  <si>
    <t>Current Dynamic Row Views</t>
  </si>
  <si>
    <t>[SHOWVIEWHEADERS]</t>
  </si>
  <si>
    <t>Show View Headers in Menu</t>
  </si>
  <si>
    <t>Variables</t>
  </si>
  <si>
    <t>e8:i13</t>
  </si>
  <si>
    <t>Hidden</t>
  </si>
  <si>
    <t>[ActivateSheetOnOpen]</t>
  </si>
  <si>
    <t>Activate sheet on open</t>
  </si>
  <si>
    <t>[DisableQuickFilter]</t>
  </si>
  <si>
    <t>Disable quick filter</t>
  </si>
  <si>
    <t>[MasterSheets]</t>
  </si>
  <si>
    <t>Master Sheets</t>
  </si>
  <si>
    <t>[MasterSheet]</t>
  </si>
  <si>
    <t>Master Sheet</t>
  </si>
  <si>
    <t>Conrol!G$1:G$10000</t>
  </si>
  <si>
    <t>Control!I$1:I$10000</t>
  </si>
  <si>
    <t>[copy]</t>
  </si>
  <si>
    <t>Action Code for History</t>
  </si>
  <si>
    <t>Action code for Forecast</t>
  </si>
  <si>
    <t>Optional Report Filter:</t>
  </si>
  <si>
    <t>Computed Report Filter</t>
  </si>
  <si>
    <t>Final:</t>
  </si>
  <si>
    <t>Fixed Filter:</t>
  </si>
  <si>
    <t>Control Tab: (Optional)  Enter a fixed report filter.</t>
  </si>
  <si>
    <t>To update the Control Tab: Open this utility from explorer by right-click - Open Without Refresh</t>
  </si>
  <si>
    <t>Make your entries to the Control Tab</t>
  </si>
  <si>
    <t>Save the Utility</t>
  </si>
  <si>
    <t>Close and reopen the utility in normal fashion.  It will now be read-only but will post your changes to the database upon save.</t>
  </si>
  <si>
    <t>Prev Adj</t>
  </si>
  <si>
    <t>AQ2: CY Budget</t>
  </si>
  <si>
    <t>Computed Adjustment</t>
  </si>
  <si>
    <t>[csversion]</t>
  </si>
  <si>
    <t>[ShowRowAndColumnHeadings]</t>
  </si>
  <si>
    <t>Show row and column headings</t>
  </si>
  <si>
    <t>[DataLookupsToRunOnOpen]</t>
  </si>
  <si>
    <t>DataLookups to run on open</t>
  </si>
  <si>
    <t>[EnableMessageStream]</t>
  </si>
  <si>
    <t>Enable Message Stream</t>
  </si>
  <si>
    <t>[ClearDataLookupsOnSave]</t>
  </si>
  <si>
    <t>Clear DataLookups on save</t>
  </si>
  <si>
    <t>[ENABLEDRILLING]</t>
  </si>
  <si>
    <t>Enable Drilling</t>
  </si>
  <si>
    <t>Filters</t>
  </si>
  <si>
    <t>[ProcessDefinitionID]</t>
  </si>
  <si>
    <t xml:space="preserve">    Process Definition ID</t>
  </si>
  <si>
    <t>[DataLookupsToRun]</t>
  </si>
  <si>
    <t>DataLookups to run</t>
  </si>
  <si>
    <t>[CheckForTableDataChanged]</t>
  </si>
  <si>
    <t>Refresh only if primary table changed since last refresh</t>
  </si>
  <si>
    <t>[RefreshTimestamp]</t>
  </si>
  <si>
    <t>Last refresh time</t>
  </si>
  <si>
    <t>[aq2]</t>
  </si>
  <si>
    <t>[stop]</t>
  </si>
  <si>
    <t>[aq1]</t>
  </si>
  <si>
    <t xml:space="preserve"> Total Paid Hours</t>
  </si>
  <si>
    <t>Report Control</t>
  </si>
  <si>
    <t>D10:E15</t>
  </si>
  <si>
    <t>Default</t>
  </si>
  <si>
    <t>[HideControlSheetOnOpen]</t>
  </si>
  <si>
    <t>Hide Control Sheet on open</t>
  </si>
  <si>
    <t>[SHOWGRIDLINES]</t>
  </si>
  <si>
    <t>Show Gridlines</t>
  </si>
  <si>
    <t>[DEFAULTZOOM]</t>
  </si>
  <si>
    <t>Default Zoom</t>
  </si>
  <si>
    <t>[REFRESHONPROCESSTEMPLATE]</t>
  </si>
  <si>
    <t>Refresh during template processing</t>
  </si>
  <si>
    <t>[DataContext]</t>
  </si>
  <si>
    <t>Data Context</t>
  </si>
  <si>
    <t>[DataContextDescription]</t>
  </si>
  <si>
    <t>Data Context Description</t>
  </si>
  <si>
    <t>[IsDataContextCheckedOut]</t>
  </si>
  <si>
    <t>Is Data Context Checked Out</t>
  </si>
  <si>
    <t>[AqBatchNumber]</t>
  </si>
  <si>
    <t xml:space="preserve">    Batch Number (leave blank to use normal AQ processing)</t>
  </si>
  <si>
    <t>To save data to the database, select SAVE from the Ribbon</t>
  </si>
  <si>
    <t>This report is not designed to work with Quick Filter or file processing.</t>
  </si>
  <si>
    <t>[RefreshVariables]</t>
  </si>
  <si>
    <t>[Name]</t>
  </si>
  <si>
    <t>[VariableType]</t>
  </si>
  <si>
    <t>[IsEnabled]</t>
  </si>
  <si>
    <t>[SelectedValue]</t>
  </si>
  <si>
    <t>[ClearSelectedValueOnSave]</t>
  </si>
  <si>
    <t>[IsRequired]</t>
  </si>
  <si>
    <t>[DependsOn]</t>
  </si>
  <si>
    <t>[PlaceHolderText]</t>
  </si>
  <si>
    <t>[ListChoices]</t>
  </si>
  <si>
    <t>[ColumnName]</t>
  </si>
  <si>
    <t>[AdditionalColumns]</t>
  </si>
  <si>
    <t>[ColumnFilter]</t>
  </si>
  <si>
    <t>[AllowMultiSelect]</t>
  </si>
  <si>
    <t>Sheet Filter</t>
  </si>
  <si>
    <t>[Variable]</t>
  </si>
  <si>
    <t>Select Entity:</t>
  </si>
  <si>
    <t>ColumnValue</t>
  </si>
  <si>
    <t>True</t>
  </si>
  <si>
    <t>ENTITY.ENTITY</t>
  </si>
  <si>
    <t>False</t>
  </si>
  <si>
    <t>2020-05-08T14:11:51Z</t>
  </si>
  <si>
    <t>ACCT.Statement.STATEMENT IN ('HoursJC', 'Hours', 'IS')</t>
  </si>
  <si>
    <t>H_JCHours</t>
  </si>
  <si>
    <t>H_Prod</t>
  </si>
  <si>
    <t>H_Overtime</t>
  </si>
  <si>
    <t>H_NonProd</t>
  </si>
  <si>
    <t>H_Contract</t>
  </si>
  <si>
    <t>Paid Hours - JC</t>
  </si>
  <si>
    <t>Paid Hours - Productive</t>
  </si>
  <si>
    <t>Paid Hours - Overtime</t>
  </si>
  <si>
    <t>Paid Hours - NonProductive</t>
  </si>
  <si>
    <t>Paid Hours - Contract</t>
  </si>
  <si>
    <t>Total Paid Hours</t>
  </si>
  <si>
    <t xml:space="preserve">   Average Hourly Rate</t>
  </si>
  <si>
    <t xml:space="preserve">  Benefits as a % of Total Salaries</t>
  </si>
  <si>
    <t xml:space="preserve">   % of Gross Revenue</t>
  </si>
  <si>
    <t>Operating Margin %</t>
  </si>
  <si>
    <t>Excess Revenues Over Operating Expenses</t>
  </si>
  <si>
    <t>Adj</t>
  </si>
  <si>
    <t>Pct</t>
  </si>
  <si>
    <t>AQ1: CY Forecast</t>
  </si>
  <si>
    <t>Selected Entity</t>
  </si>
  <si>
    <t>Paid Hours - Physician</t>
  </si>
  <si>
    <t>Paid Hours - Advanced Practice</t>
  </si>
  <si>
    <t>Paid Hours - Contract Labor</t>
  </si>
  <si>
    <t>H_Physician</t>
  </si>
  <si>
    <t>H_MidLevel</t>
  </si>
  <si>
    <t>Salaries &amp; Wages - Physician</t>
  </si>
  <si>
    <t>Salaries &amp; Wages - Advanced Practice</t>
  </si>
  <si>
    <t>E_SalariesPhy</t>
  </si>
  <si>
    <t>E_SalariesMid</t>
  </si>
  <si>
    <t xml:space="preserve">   Salaries &amp; Wages - Physician</t>
  </si>
  <si>
    <t xml:space="preserve">   Salaries &amp; Wages - Advanced Practice</t>
  </si>
  <si>
    <t>Total Paid Hours - Physician</t>
  </si>
  <si>
    <t>Total Paid Hours - Advanced Practice</t>
  </si>
  <si>
    <t xml:space="preserve">   Average Hourly Rate - Physician</t>
  </si>
  <si>
    <t xml:space="preserve">   Average Hourly Rate - Advanced Practice</t>
  </si>
  <si>
    <t>Less: Provider Hours</t>
  </si>
  <si>
    <t>H_Phy</t>
  </si>
  <si>
    <t>H_Mid</t>
  </si>
  <si>
    <t>E12</t>
  </si>
  <si>
    <t>F22</t>
  </si>
  <si>
    <t>J36</t>
  </si>
  <si>
    <t>[ProcessCrossSheetBatches]</t>
  </si>
  <si>
    <t>Process cross sheet AQ Batches</t>
  </si>
  <si>
    <t>[EnableParallelSave]</t>
  </si>
  <si>
    <t>Enable parallel save data</t>
  </si>
  <si>
    <t>[AdditionalTableDependencies]</t>
  </si>
  <si>
    <t>Additional table dependencies</t>
  </si>
  <si>
    <t>OnManualRefreshOnly</t>
  </si>
  <si>
    <t>F34:J38</t>
  </si>
  <si>
    <t>Pct1</t>
  </si>
  <si>
    <t>Adj1</t>
  </si>
  <si>
    <t>Pct2</t>
  </si>
  <si>
    <t>Adj2</t>
  </si>
  <si>
    <t>Pct3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</si>
  <si>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</si>
  <si>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</si>
  <si>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</si>
  <si>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</si>
  <si>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</si>
  <si>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</si>
  <si>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</si>
  <si>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</si>
  <si>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</si>
  <si>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Adj3</t>
  </si>
  <si>
    <t>Adj4</t>
  </si>
  <si>
    <t>Adj5</t>
  </si>
  <si>
    <t>Adj6</t>
  </si>
  <si>
    <t>Adj7</t>
  </si>
  <si>
    <t>Adj8</t>
  </si>
  <si>
    <t>Adj9</t>
  </si>
  <si>
    <t>Adj10</t>
  </si>
  <si>
    <t>Adj11</t>
  </si>
  <si>
    <t>Adj12</t>
  </si>
  <si>
    <t>Save</t>
  </si>
  <si>
    <t>Pct Adjust</t>
  </si>
  <si>
    <t>Amt Adjust</t>
  </si>
  <si>
    <t>Entity.CYFDept</t>
  </si>
  <si>
    <t>Acct_FSDetail.CYFAcct</t>
  </si>
  <si>
    <t>Dept Description</t>
  </si>
  <si>
    <t>Acct Description</t>
  </si>
  <si>
    <t>Adjustment Filter</t>
  </si>
  <si>
    <t>Control Tab</t>
  </si>
  <si>
    <t>Match Row</t>
  </si>
  <si>
    <t>2020-06-23T03:47:27Z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</si>
</sst>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_);\(0.0%\)"/>
    <numFmt numFmtId="166" formatCode="#,##0.0_);\(#,##0.0\)"/>
    <numFmt numFmtId="167" formatCode="0.00%_);\(0.00%\)"/>
    <numFmt numFmtId="168" formatCode="#,##0.000_);\(#,##0.000\)"/>
    <numFmt numFmtId="169" formatCode="#,##0.0000_);\(#,##0.0000\)"/>
    <numFmt numFmtId="170" formatCode="mm/dd/yy"/>
    <numFmt numFmtId="171" formatCode="mmm\-yyyy"/>
  </numFmts>
  <fonts count="86">
    <font>
      <sz val="11"/>
      <color theme="1"/>
      <name val="Segoe UI"/>
      <family val="2"/>
      <scheme val="minor"/>
    </font>
    <font>
      <sz val="12"/>
      <name val="Arial"/>
      <family val="2"/>
    </font>
    <font>
      <b/>
      <sz val="11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rgb="FF292929"/>
      <name val="Segoe UI"/>
      <family val="2"/>
    </font>
    <font>
      <u/>
      <sz val="10"/>
      <color theme="1"/>
      <name val="Segoe UI"/>
      <family val="2"/>
    </font>
    <font>
      <b/>
      <sz val="11"/>
      <color theme="0"/>
      <name val="Segoe UI"/>
      <family val="2"/>
      <scheme val="minor"/>
    </font>
    <font>
      <sz val="11"/>
      <color theme="0"/>
      <name val="Segoe UI"/>
      <family val="2"/>
      <scheme val="minor"/>
    </font>
    <font>
      <sz val="8"/>
      <color theme="0"/>
      <name val="Segoe UI"/>
      <family val="2"/>
      <scheme val="minor"/>
    </font>
    <font>
      <sz val="10"/>
      <name val="Segoe UI"/>
      <family val="2"/>
      <scheme val="minor"/>
    </font>
    <font>
      <b/>
      <sz val="14"/>
      <name val="Verdana"/>
      <family val="2"/>
    </font>
    <font>
      <sz val="12"/>
      <name val="Verdana"/>
      <family val="2"/>
    </font>
    <font>
      <sz val="11"/>
      <name val="Verdana"/>
      <family val="2"/>
    </font>
    <font>
      <sz val="10"/>
      <color indexed="12"/>
      <name val="Arial"/>
      <family val="2"/>
    </font>
    <font>
      <b/>
      <sz val="11"/>
      <color theme="3"/>
      <name val="Segoe UI"/>
      <family val="2"/>
      <scheme val="minor"/>
    </font>
    <font>
      <sz val="8"/>
      <color indexed="12"/>
      <name val="Arial"/>
      <family val="2"/>
    </font>
    <font>
      <sz val="10"/>
      <color indexed="50"/>
      <name val="Arial"/>
      <family val="2"/>
    </font>
    <font>
      <b/>
      <sz val="10"/>
      <name val="Segoe UI"/>
      <family val="2"/>
      <scheme val="minor"/>
    </font>
    <font>
      <sz val="12"/>
      <color indexed="50"/>
      <name val="Arial"/>
      <family val="2"/>
    </font>
    <font>
      <sz val="10"/>
      <name val="Verdana"/>
      <family val="2"/>
    </font>
    <font>
      <u/>
      <sz val="10"/>
      <name val="Segoe UI"/>
      <family val="2"/>
      <scheme val="minor"/>
    </font>
    <font>
      <b/>
      <u/>
      <sz val="10"/>
      <name val="Segoe UI"/>
      <family val="2"/>
      <scheme val="minor"/>
    </font>
    <font>
      <b/>
      <sz val="10"/>
      <color indexed="17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0" tint="-0.34998626667073579"/>
      <name val="Segoe UI"/>
      <family val="2"/>
      <scheme val="minor"/>
    </font>
    <font>
      <sz val="10"/>
      <color theme="0"/>
      <name val="Segoe UI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Segoe UI"/>
      <family val="2"/>
      <scheme val="minor"/>
    </font>
    <font>
      <b/>
      <sz val="13"/>
      <color theme="3"/>
      <name val="Segoe UI"/>
      <family val="2"/>
      <scheme val="minor"/>
    </font>
    <font>
      <sz val="11"/>
      <color rgb="FF006100"/>
      <name val="Segoe UI"/>
      <family val="2"/>
      <scheme val="minor"/>
    </font>
    <font>
      <sz val="11"/>
      <color rgb="FF9C0006"/>
      <name val="Segoe UI"/>
      <family val="2"/>
      <scheme val="minor"/>
    </font>
    <font>
      <sz val="11"/>
      <color rgb="FF9C6500"/>
      <name val="Segoe UI"/>
      <family val="2"/>
      <scheme val="minor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b/>
      <sz val="11"/>
      <color rgb="FFFA7D00"/>
      <name val="Segoe UI"/>
      <family val="2"/>
      <scheme val="minor"/>
    </font>
    <font>
      <sz val="11"/>
      <color rgb="FFFA7D00"/>
      <name val="Segoe UI"/>
      <family val="2"/>
      <scheme val="minor"/>
    </font>
    <font>
      <sz val="11"/>
      <color rgb="FFFF0000"/>
      <name val="Segoe UI"/>
      <family val="2"/>
      <scheme val="minor"/>
    </font>
    <font>
      <i/>
      <sz val="11"/>
      <color rgb="FF7F7F7F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0"/>
      <color rgb="FF232D32"/>
      <name val="Segoe UI"/>
      <family val="2"/>
    </font>
    <font>
      <b/>
      <sz val="10"/>
      <color rgb="FF232D32"/>
      <name val="Segoe UI"/>
      <family val="2"/>
    </font>
    <font>
      <b/>
      <sz val="10"/>
      <color rgb="FF455A64"/>
      <name val="Segoe UI"/>
      <family val="2"/>
    </font>
    <font>
      <sz val="10"/>
      <color rgb="FF455A64"/>
      <name val="Segoe UI"/>
      <family val="2"/>
    </font>
    <font>
      <sz val="12"/>
      <color rgb="FF455A64"/>
      <name val="Segoe UI"/>
      <family val="2"/>
    </font>
    <font>
      <b/>
      <sz val="12"/>
      <color rgb="FF455A64"/>
      <name val="Segoe UI"/>
      <family val="2"/>
    </font>
    <font>
      <sz val="10"/>
      <color rgb="FF222B35"/>
      <name val="Segoe UI"/>
      <family val="2"/>
    </font>
    <font>
      <sz val="22"/>
      <color rgb="FF64B5F6"/>
      <name val="Segoe UI"/>
      <family val="2"/>
    </font>
    <font>
      <b/>
      <sz val="10"/>
      <color rgb="FF00B0F0"/>
      <name val="Segoe UI"/>
      <family val="2"/>
    </font>
    <font>
      <sz val="11"/>
      <color rgb="FF000000"/>
      <name val="Segoe UI"/>
      <family val="2"/>
    </font>
    <font>
      <sz val="11"/>
      <color rgb="FFFFFFFF"/>
      <name val="Segoe UI"/>
      <family val="2"/>
    </font>
    <font>
      <sz val="10"/>
      <color rgb="FF00A6CF"/>
      <name val="Segoe UI"/>
      <family val="2"/>
    </font>
    <font>
      <sz val="10"/>
      <color rgb="FFFFFFFF"/>
      <name val="Segoe UI"/>
      <family val="2"/>
    </font>
    <font>
      <b/>
      <sz val="10"/>
      <color rgb="FF000000"/>
      <name val="Segoe UI"/>
      <family val="2"/>
    </font>
    <font>
      <i/>
      <sz val="9"/>
      <color rgb="FF7F7F7F"/>
      <name val="Segoe UI"/>
      <family val="2"/>
    </font>
    <font>
      <i/>
      <sz val="11"/>
      <color rgb="FF7F7F7F"/>
      <name val="Segoe UI"/>
      <family val="2"/>
    </font>
    <font>
      <sz val="11"/>
      <color rgb="FF17A8FF"/>
      <name val="FontAwesome"/>
    </font>
    <font>
      <i/>
      <sz val="8"/>
      <color rgb="FF455A64"/>
      <name val="Segoe UI"/>
      <family val="2"/>
    </font>
    <font>
      <sz val="10"/>
      <color rgb="FFFF0000"/>
      <name val="Wingdings"/>
      <charset val="2"/>
    </font>
    <font>
      <sz val="11"/>
      <color rgb="FF232D32"/>
      <name val="Segoe UI"/>
      <family val="2"/>
    </font>
    <font>
      <sz val="18"/>
      <color rgb="FF64B5F6"/>
      <name val="Segoe UI"/>
      <family val="2"/>
    </font>
    <font>
      <b/>
      <sz val="11"/>
      <color theme="3" tint="-0.49964903714102604"/>
      <name val="Segoe UI"/>
      <family val="2"/>
      <scheme val="minor"/>
    </font>
    <font>
      <b/>
      <sz val="11"/>
      <color theme="3" tint="-0.49964903714102604"/>
      <name val="Antique Olive Roman"/>
      <family val="2"/>
    </font>
    <font>
      <sz val="11"/>
      <color theme="3" tint="-0.49964903714102604"/>
      <name val="Segoe UI"/>
      <family val="2"/>
      <scheme val="minor"/>
    </font>
    <font>
      <u/>
      <sz val="11"/>
      <color theme="3" tint="-0.49964903714102604"/>
      <name val="Segoe UI"/>
      <family val="2"/>
      <scheme val="minor"/>
    </font>
    <font>
      <u/>
      <sz val="8"/>
      <color theme="3" tint="-0.49964903714102604"/>
      <name val="Segoe UI"/>
      <family val="2"/>
      <scheme val="minor"/>
    </font>
    <font>
      <sz val="11"/>
      <name val="Segoe UI"/>
      <family val="2"/>
    </font>
    <font>
      <b/>
      <sz val="11"/>
      <color rgb="FF000000"/>
      <name val="Segoe UI"/>
      <family val="2"/>
    </font>
    <font>
      <b/>
      <sz val="11"/>
      <color theme="3" tint="-0.49961851863155005"/>
      <name val="Segoe UI"/>
      <family val="2"/>
      <scheme val="minor"/>
    </font>
    <font>
      <b/>
      <sz val="11"/>
      <color theme="0" tint="-0.14963225196081423"/>
      <name val="Segoe UI"/>
      <family val="2"/>
      <scheme val="minor"/>
    </font>
    <font>
      <b/>
      <sz val="11"/>
      <color theme="3" tint="-0.49961851863155005"/>
      <name val="Antique Olive Roman"/>
      <family val="2"/>
    </font>
    <font>
      <sz val="11"/>
      <color theme="3" tint="-0.49961851863155005"/>
      <name val="Segoe UI"/>
      <family val="2"/>
      <scheme val="minor"/>
    </font>
    <font>
      <b/>
      <u/>
      <sz val="11"/>
      <color theme="3" tint="-0.49961851863155005"/>
      <name val="Segoe UI"/>
      <family val="2"/>
      <scheme val="minor"/>
    </font>
    <font>
      <b/>
      <u/>
      <sz val="11"/>
      <color theme="0" tint="-0.14963225196081423"/>
      <name val="Segoe UI"/>
      <family val="2"/>
      <scheme val="minor"/>
    </font>
    <font>
      <sz val="8"/>
      <color theme="3" tint="-0.49961851863155005"/>
      <name val="Segoe UI"/>
      <family val="2"/>
      <scheme val="minor"/>
    </font>
    <font>
      <sz val="11"/>
      <color theme="0" tint="-0.14963225196081423"/>
      <name val="Segoe UI"/>
      <family val="2"/>
      <scheme val="minor"/>
    </font>
    <font>
      <b/>
      <sz val="8"/>
      <color theme="3" tint="-0.49961851863155005"/>
      <name val="Segoe UI"/>
      <family val="2"/>
      <scheme val="minor"/>
    </font>
    <font>
      <u/>
      <sz val="11"/>
      <color theme="3" tint="-0.49961851863155005"/>
      <name val="Segoe UI"/>
      <family val="2"/>
      <scheme val="minor"/>
    </font>
    <font>
      <b/>
      <sz val="8"/>
      <color theme="3" tint="-0.49961851863155005"/>
      <name val="Antique Olive Roman"/>
      <family val="2"/>
    </font>
    <font>
      <u/>
      <sz val="8"/>
      <color theme="3" tint="-0.49961851863155005"/>
      <name val="Segoe UI"/>
      <family val="2"/>
      <scheme val="minor"/>
    </font>
    <font>
      <sz val="11"/>
      <color theme="9" tint="-0.24961088900418105"/>
      <name val="Segoe UI"/>
      <family val="2"/>
      <scheme val="minor"/>
    </font>
    <font>
      <sz val="8"/>
      <name val="Segoe UI"/>
      <family val="2"/>
      <scheme val="minor"/>
    </font>
    <font>
      <b/>
      <sz val="10"/>
      <color rgb="FF222B35"/>
      <name val="Segoe UI"/>
      <family val="2"/>
    </font>
    <font>
      <b/>
      <sz val="10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EEF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ED7DB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2E9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83CC"/>
        <bgColor indexed="64"/>
      </patternFill>
    </fill>
    <fill>
      <patternFill patternType="solid">
        <fgColor rgb="FFAFBDC5"/>
        <bgColor indexed="64"/>
      </patternFill>
    </fill>
    <fill>
      <patternFill patternType="solid">
        <fgColor rgb="FF78909C"/>
        <bgColor indexed="64"/>
      </patternFill>
    </fill>
    <fill>
      <patternFill patternType="solid">
        <fgColor rgb="FF455A63"/>
        <bgColor indexed="64"/>
      </patternFill>
    </fill>
    <fill>
      <patternFill patternType="solid">
        <fgColor rgb="FF15222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1D5A9"/>
        <bgColor indexed="64"/>
      </patternFill>
    </fill>
    <fill>
      <patternFill patternType="solid">
        <fgColor rgb="FFD0BE7A"/>
        <bgColor indexed="64"/>
      </patternFill>
    </fill>
    <fill>
      <patternFill patternType="solid">
        <fgColor rgb="FFBDA343"/>
        <bgColor indexed="64"/>
      </patternFill>
    </fill>
    <fill>
      <patternFill patternType="solid">
        <fgColor rgb="FF9B8637"/>
        <bgColor indexed="64"/>
      </patternFill>
    </fill>
    <fill>
      <patternFill patternType="solid">
        <fgColor rgb="FF7F6D2D"/>
        <bgColor indexed="64"/>
      </patternFill>
    </fill>
    <fill>
      <patternFill patternType="solid">
        <fgColor rgb="FFB8F5C9"/>
        <bgColor indexed="64"/>
      </patternFill>
    </fill>
    <fill>
      <patternFill patternType="solid">
        <fgColor rgb="FFD1C4E9"/>
        <bgColor indexed="64"/>
      </patternFill>
    </fill>
    <fill>
      <patternFill patternType="solid">
        <fgColor rgb="FFB39DDB"/>
        <bgColor indexed="64"/>
      </patternFill>
    </fill>
    <fill>
      <patternFill patternType="solid">
        <fgColor rgb="FF7E57C2"/>
        <bgColor indexed="64"/>
      </patternFill>
    </fill>
    <fill>
      <patternFill patternType="solid">
        <fgColor rgb="FF3B27A0"/>
        <bgColor indexed="64"/>
      </patternFill>
    </fill>
    <fill>
      <patternFill patternType="solid">
        <fgColor rgb="FF20156D"/>
        <bgColor indexed="64"/>
      </patternFill>
    </fill>
    <fill>
      <patternFill patternType="solid">
        <fgColor rgb="FFB2DFDB"/>
        <bgColor indexed="64"/>
      </patternFill>
    </fill>
    <fill>
      <patternFill patternType="solid">
        <fgColor rgb="FF4DB6AC"/>
        <bgColor indexed="64"/>
      </patternFill>
    </fill>
    <fill>
      <patternFill patternType="solid">
        <fgColor rgb="FF009688"/>
        <bgColor indexed="64"/>
      </patternFill>
    </fill>
    <fill>
      <patternFill patternType="solid">
        <fgColor rgb="FF00796B"/>
        <bgColor indexed="64"/>
      </patternFill>
    </fill>
    <fill>
      <patternFill patternType="solid">
        <fgColor rgb="FF004D4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8BBD0"/>
        <bgColor indexed="64"/>
      </patternFill>
    </fill>
    <fill>
      <patternFill patternType="solid">
        <fgColor rgb="FFF0629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C2185B"/>
        <bgColor indexed="64"/>
      </patternFill>
    </fill>
    <fill>
      <patternFill patternType="solid">
        <fgColor rgb="FF880E4F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64B5F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1976D2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FFECB3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6F00"/>
        <bgColor indexed="64"/>
      </patternFill>
    </fill>
    <fill>
      <patternFill patternType="solid">
        <fgColor theme="0" tint="-0.14966277047029022"/>
        <bgColor indexed="64"/>
      </patternFill>
    </fill>
    <fill>
      <patternFill patternType="solid">
        <fgColor theme="0" tint="-0.49992370372631001"/>
        <bgColor indexed="64"/>
      </patternFill>
    </fill>
    <fill>
      <patternFill patternType="solid">
        <fgColor theme="8" tint="-9.991760002441481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63225196081423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rgb="FF1F497D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indexed="64"/>
      </left>
      <right style="medium">
        <color theme="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dashed">
        <color rgb="FFDBE2E5"/>
      </top>
      <bottom style="dashed">
        <color rgb="FFDBE2E5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D8E2E5"/>
      </top>
      <bottom style="thin">
        <color rgb="FFD8E2E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AAFB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n">
        <color indexed="64"/>
      </top>
      <bottom/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thick">
        <color rgb="FFFFFFFF"/>
      </bottom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indexed="64"/>
      </bottom>
      <diagonal/>
    </border>
  </borders>
  <cellStyleXfs count="243">
    <xf numFmtId="0" fontId="0" fillId="7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3" applyNumberFormat="0" applyAlignment="0" applyProtection="0"/>
    <xf numFmtId="0" fontId="36" fillId="12" borderId="14" applyNumberFormat="0" applyAlignment="0" applyProtection="0"/>
    <xf numFmtId="0" fontId="37" fillId="12" borderId="13" applyNumberFormat="0" applyAlignment="0" applyProtection="0"/>
    <xf numFmtId="0" fontId="38" fillId="0" borderId="15" applyNumberFormat="0" applyFill="0" applyAlignment="0" applyProtection="0"/>
    <xf numFmtId="0" fontId="9" fillId="13" borderId="16" applyNumberFormat="0" applyAlignment="0" applyProtection="0"/>
    <xf numFmtId="0" fontId="39" fillId="0" borderId="0" applyNumberFormat="0" applyFill="0" applyBorder="0" applyAlignment="0" applyProtection="0"/>
    <xf numFmtId="0" fontId="26" fillId="14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10" fillId="38" borderId="0" applyNumberFormat="0" applyBorder="0" applyAlignment="0" applyProtection="0"/>
    <xf numFmtId="164" fontId="42" fillId="7" borderId="0">
      <alignment horizontal="left" vertical="center"/>
    </xf>
    <xf numFmtId="5" fontId="42" fillId="7" borderId="0">
      <alignment horizontal="right" vertical="center"/>
    </xf>
    <xf numFmtId="7" fontId="42" fillId="7" borderId="0">
      <alignment horizontal="right" vertical="center"/>
    </xf>
    <xf numFmtId="164" fontId="42" fillId="7" borderId="0">
      <alignment horizontal="right" vertical="center"/>
    </xf>
    <xf numFmtId="37" fontId="42" fillId="7" borderId="0">
      <alignment horizontal="right" vertical="center"/>
    </xf>
    <xf numFmtId="165" fontId="42" fillId="7" borderId="0">
      <alignment horizontal="right" vertical="center"/>
    </xf>
    <xf numFmtId="166" fontId="42" fillId="7" borderId="0">
      <alignment horizontal="right" vertical="center"/>
    </xf>
    <xf numFmtId="167" fontId="42" fillId="7" borderId="0">
      <alignment horizontal="right" vertical="center"/>
    </xf>
    <xf numFmtId="39" fontId="42" fillId="7" borderId="0">
      <alignment horizontal="right" vertical="center"/>
    </xf>
    <xf numFmtId="168" fontId="42" fillId="7" borderId="0">
      <alignment horizontal="right" vertical="center"/>
    </xf>
    <xf numFmtId="169" fontId="42" fillId="7" borderId="0">
      <alignment horizontal="right" vertical="center"/>
    </xf>
    <xf numFmtId="164" fontId="42" fillId="7" borderId="0">
      <alignment horizontal="left" vertical="center"/>
    </xf>
    <xf numFmtId="164" fontId="42" fillId="7" borderId="0">
      <alignment horizontal="left" vertical="center" indent="1"/>
    </xf>
    <xf numFmtId="170" fontId="42" fillId="7" borderId="0">
      <alignment horizontal="right" vertical="center"/>
    </xf>
    <xf numFmtId="171" fontId="42" fillId="7" borderId="0">
      <alignment horizontal="right" vertical="center"/>
    </xf>
    <xf numFmtId="5" fontId="42" fillId="39" borderId="19">
      <alignment horizontal="right" vertical="center"/>
    </xf>
    <xf numFmtId="7" fontId="42" fillId="39" borderId="19">
      <alignment horizontal="right" vertical="center"/>
    </xf>
    <xf numFmtId="164" fontId="42" fillId="39" borderId="19">
      <alignment horizontal="right" vertical="center"/>
    </xf>
    <xf numFmtId="37" fontId="42" fillId="39" borderId="19">
      <alignment horizontal="right" vertical="center"/>
    </xf>
    <xf numFmtId="165" fontId="42" fillId="39" borderId="19">
      <alignment horizontal="right" vertical="center"/>
    </xf>
    <xf numFmtId="166" fontId="42" fillId="39" borderId="19">
      <alignment horizontal="right" vertical="center"/>
    </xf>
    <xf numFmtId="167" fontId="42" fillId="39" borderId="19">
      <alignment horizontal="right" vertical="center"/>
    </xf>
    <xf numFmtId="39" fontId="42" fillId="39" borderId="19">
      <alignment horizontal="right" vertical="center"/>
    </xf>
    <xf numFmtId="168" fontId="42" fillId="39" borderId="19">
      <alignment horizontal="right" vertical="center"/>
    </xf>
    <xf numFmtId="164" fontId="42" fillId="39" borderId="19">
      <alignment horizontal="left" vertical="center"/>
    </xf>
    <xf numFmtId="164" fontId="43" fillId="7" borderId="0">
      <alignment vertical="center"/>
    </xf>
    <xf numFmtId="164" fontId="43" fillId="7" borderId="0">
      <alignment horizontal="right" vertical="center" indent="1"/>
    </xf>
    <xf numFmtId="164" fontId="43" fillId="7" borderId="0">
      <alignment horizontal="center" vertical="center"/>
    </xf>
    <xf numFmtId="5" fontId="42" fillId="7" borderId="0">
      <alignment vertical="center"/>
    </xf>
    <xf numFmtId="7" fontId="42" fillId="7" borderId="0">
      <alignment vertical="center"/>
    </xf>
    <xf numFmtId="164" fontId="42" fillId="7" borderId="0">
      <alignment vertical="center"/>
    </xf>
    <xf numFmtId="37" fontId="42" fillId="7" borderId="0">
      <alignment vertical="center"/>
    </xf>
    <xf numFmtId="165" fontId="42" fillId="7" borderId="0">
      <alignment vertical="center"/>
    </xf>
    <xf numFmtId="166" fontId="42" fillId="7" borderId="0">
      <alignment vertical="center"/>
    </xf>
    <xf numFmtId="167" fontId="42" fillId="7" borderId="0">
      <alignment vertical="center"/>
    </xf>
    <xf numFmtId="39" fontId="42" fillId="7" borderId="0">
      <alignment vertical="center"/>
    </xf>
    <xf numFmtId="168" fontId="42" fillId="7" borderId="0">
      <alignment vertical="center"/>
    </xf>
    <xf numFmtId="164" fontId="42" fillId="7" borderId="0">
      <alignment horizontal="left" vertical="center"/>
    </xf>
    <xf numFmtId="164" fontId="42" fillId="7" borderId="0">
      <alignment horizontal="left" vertical="center" indent="1"/>
    </xf>
    <xf numFmtId="164" fontId="42" fillId="7" borderId="0">
      <alignment horizontal="right" vertical="center" indent="1"/>
    </xf>
    <xf numFmtId="170" fontId="42" fillId="7" borderId="0">
      <alignment vertical="center"/>
    </xf>
    <xf numFmtId="171" fontId="42" fillId="7" borderId="0">
      <alignment vertical="center"/>
    </xf>
    <xf numFmtId="5" fontId="44" fillId="39" borderId="19">
      <alignment vertical="center"/>
    </xf>
    <xf numFmtId="7" fontId="44" fillId="39" borderId="19">
      <alignment vertical="center"/>
    </xf>
    <xf numFmtId="164" fontId="44" fillId="39" borderId="19">
      <alignment vertical="center"/>
    </xf>
    <xf numFmtId="37" fontId="44" fillId="39" borderId="19">
      <alignment vertical="center"/>
    </xf>
    <xf numFmtId="165" fontId="44" fillId="39" borderId="19">
      <alignment vertical="center"/>
    </xf>
    <xf numFmtId="166" fontId="44" fillId="39" borderId="19">
      <alignment vertical="center"/>
    </xf>
    <xf numFmtId="167" fontId="44" fillId="39" borderId="19">
      <alignment vertical="center"/>
    </xf>
    <xf numFmtId="39" fontId="44" fillId="39" borderId="19">
      <alignment vertical="center"/>
    </xf>
    <xf numFmtId="168" fontId="44" fillId="39" borderId="19">
      <alignment vertical="center"/>
    </xf>
    <xf numFmtId="164" fontId="44" fillId="39" borderId="19">
      <alignment horizontal="left" vertical="center" indent="1" justifyLastLine="1"/>
    </xf>
    <xf numFmtId="5" fontId="45" fillId="40" borderId="0">
      <alignment horizontal="center" vertical="center"/>
    </xf>
    <xf numFmtId="7" fontId="45" fillId="40" borderId="0">
      <alignment horizontal="center" vertical="center"/>
    </xf>
    <xf numFmtId="164" fontId="45" fillId="40" borderId="0">
      <alignment horizontal="center" vertical="center"/>
    </xf>
    <xf numFmtId="37" fontId="45" fillId="40" borderId="0">
      <alignment horizontal="center" vertical="center"/>
    </xf>
    <xf numFmtId="165" fontId="45" fillId="40" borderId="0">
      <alignment horizontal="center" vertical="center"/>
    </xf>
    <xf numFmtId="166" fontId="45" fillId="40" borderId="0">
      <alignment horizontal="center" vertical="center"/>
    </xf>
    <xf numFmtId="167" fontId="45" fillId="40" borderId="0">
      <alignment horizontal="center" vertical="center"/>
    </xf>
    <xf numFmtId="39" fontId="45" fillId="40" borderId="0">
      <alignment horizontal="center" vertical="center"/>
    </xf>
    <xf numFmtId="168" fontId="45" fillId="40" borderId="0">
      <alignment horizontal="center" vertical="center"/>
    </xf>
    <xf numFmtId="164" fontId="45" fillId="40" borderId="0">
      <alignment horizontal="left" vertical="center"/>
    </xf>
    <xf numFmtId="164" fontId="46" fillId="40" borderId="0">
      <alignment horizontal="left" vertical="center"/>
    </xf>
    <xf numFmtId="164" fontId="44" fillId="40" borderId="0">
      <alignment horizontal="left" vertical="center"/>
    </xf>
    <xf numFmtId="164" fontId="47" fillId="40" borderId="0">
      <alignment horizontal="left" vertical="center"/>
    </xf>
    <xf numFmtId="170" fontId="45" fillId="40" borderId="0">
      <alignment horizontal="center" vertical="center"/>
    </xf>
    <xf numFmtId="171" fontId="45" fillId="40" borderId="0">
      <alignment horizontal="center" vertical="center"/>
    </xf>
    <xf numFmtId="164" fontId="48" fillId="41" borderId="20">
      <alignment horizontal="center" vertical="center" wrapText="1"/>
    </xf>
    <xf numFmtId="164" fontId="48" fillId="7" borderId="20">
      <alignment horizontal="center" vertical="center"/>
    </xf>
    <xf numFmtId="164" fontId="44" fillId="42" borderId="0">
      <alignment horizontal="left" vertical="center"/>
    </xf>
    <xf numFmtId="164" fontId="45" fillId="42" borderId="0">
      <alignment horizontal="left" vertical="center"/>
    </xf>
    <xf numFmtId="170" fontId="48" fillId="41" borderId="20">
      <alignment horizontal="center" vertical="center"/>
    </xf>
    <xf numFmtId="171" fontId="48" fillId="41" borderId="20">
      <alignment horizontal="center" vertical="center"/>
    </xf>
    <xf numFmtId="5" fontId="44" fillId="43" borderId="0">
      <alignment vertical="center"/>
    </xf>
    <xf numFmtId="7" fontId="44" fillId="43" borderId="0">
      <alignment vertical="center"/>
    </xf>
    <xf numFmtId="164" fontId="44" fillId="43" borderId="0">
      <alignment vertical="center"/>
    </xf>
    <xf numFmtId="37" fontId="44" fillId="43" borderId="0">
      <alignment vertical="center"/>
    </xf>
    <xf numFmtId="165" fontId="44" fillId="43" borderId="0">
      <alignment vertical="center"/>
    </xf>
    <xf numFmtId="166" fontId="44" fillId="43" borderId="0">
      <alignment vertical="center"/>
    </xf>
    <xf numFmtId="167" fontId="44" fillId="43" borderId="0">
      <alignment vertical="center"/>
    </xf>
    <xf numFmtId="39" fontId="44" fillId="43" borderId="0">
      <alignment vertical="center"/>
    </xf>
    <xf numFmtId="168" fontId="44" fillId="43" borderId="0">
      <alignment vertical="center"/>
    </xf>
    <xf numFmtId="164" fontId="44" fillId="43" borderId="0">
      <alignment vertical="center"/>
    </xf>
    <xf numFmtId="164" fontId="45" fillId="7" borderId="20">
      <alignment vertical="center"/>
    </xf>
    <xf numFmtId="164" fontId="45" fillId="44" borderId="20">
      <alignment vertical="center"/>
    </xf>
    <xf numFmtId="164" fontId="46" fillId="7" borderId="0">
      <alignment vertical="center"/>
    </xf>
    <xf numFmtId="164" fontId="46" fillId="44" borderId="0">
      <alignment vertical="center"/>
    </xf>
    <xf numFmtId="164" fontId="49" fillId="7" borderId="0">
      <alignment vertical="center"/>
    </xf>
    <xf numFmtId="164" fontId="42" fillId="7" borderId="0">
      <alignment vertical="center"/>
    </xf>
    <xf numFmtId="5" fontId="42" fillId="7" borderId="0">
      <alignment vertical="center"/>
    </xf>
    <xf numFmtId="7" fontId="42" fillId="7" borderId="0">
      <alignment vertical="center"/>
    </xf>
    <xf numFmtId="164" fontId="42" fillId="7" borderId="0">
      <alignment vertical="center"/>
    </xf>
    <xf numFmtId="37" fontId="42" fillId="7" borderId="0">
      <alignment vertical="center"/>
    </xf>
    <xf numFmtId="165" fontId="42" fillId="7" borderId="0">
      <alignment vertical="center"/>
    </xf>
    <xf numFmtId="166" fontId="42" fillId="7" borderId="0">
      <alignment vertical="center"/>
    </xf>
    <xf numFmtId="167" fontId="42" fillId="7" borderId="0">
      <alignment vertical="center"/>
    </xf>
    <xf numFmtId="39" fontId="42" fillId="7" borderId="0">
      <alignment vertical="center"/>
    </xf>
    <xf numFmtId="168" fontId="42" fillId="7" borderId="0">
      <alignment vertical="center"/>
    </xf>
    <xf numFmtId="164" fontId="42" fillId="7" borderId="0">
      <alignment vertical="center"/>
    </xf>
    <xf numFmtId="164" fontId="42" fillId="7" borderId="0">
      <alignment horizontal="left" vertical="center" indent="1"/>
    </xf>
    <xf numFmtId="170" fontId="42" fillId="7" borderId="0">
      <alignment vertical="center"/>
    </xf>
    <xf numFmtId="171" fontId="42" fillId="7" borderId="0">
      <alignment vertical="center"/>
    </xf>
    <xf numFmtId="5" fontId="45" fillId="7" borderId="19">
      <alignment vertical="center"/>
    </xf>
    <xf numFmtId="7" fontId="45" fillId="7" borderId="19">
      <alignment vertical="center"/>
    </xf>
    <xf numFmtId="164" fontId="45" fillId="7" borderId="19">
      <alignment vertical="center"/>
    </xf>
    <xf numFmtId="37" fontId="45" fillId="7" borderId="19">
      <alignment vertical="center"/>
    </xf>
    <xf numFmtId="165" fontId="45" fillId="7" borderId="19">
      <alignment vertical="center"/>
    </xf>
    <xf numFmtId="166" fontId="45" fillId="7" borderId="19">
      <alignment vertical="center"/>
    </xf>
    <xf numFmtId="167" fontId="45" fillId="7" borderId="19">
      <alignment vertical="center"/>
    </xf>
    <xf numFmtId="39" fontId="45" fillId="7" borderId="19">
      <alignment vertical="center"/>
    </xf>
    <xf numFmtId="168" fontId="45" fillId="7" borderId="19">
      <alignment vertical="center"/>
    </xf>
    <xf numFmtId="164" fontId="45" fillId="7" borderId="19">
      <alignment vertical="center"/>
    </xf>
    <xf numFmtId="164" fontId="50" fillId="45" borderId="0">
      <alignment vertical="center"/>
    </xf>
    <xf numFmtId="164" fontId="51" fillId="39" borderId="0">
      <alignment vertical="center"/>
    </xf>
    <xf numFmtId="164" fontId="51" fillId="46" borderId="0">
      <alignment vertical="center"/>
    </xf>
    <xf numFmtId="164" fontId="52" fillId="47" borderId="0">
      <alignment vertical="center"/>
    </xf>
    <xf numFmtId="164" fontId="52" fillId="48" borderId="0">
      <alignment vertical="center"/>
    </xf>
    <xf numFmtId="164" fontId="52" fillId="49" borderId="0">
      <alignment vertical="center"/>
    </xf>
    <xf numFmtId="164" fontId="53" fillId="7" borderId="21">
      <alignment horizontal="center" vertical="center"/>
    </xf>
    <xf numFmtId="164" fontId="54" fillId="50" borderId="21">
      <alignment horizontal="center" vertical="center"/>
    </xf>
    <xf numFmtId="164" fontId="51" fillId="51" borderId="0">
      <alignment vertical="center"/>
    </xf>
    <xf numFmtId="164" fontId="51" fillId="52" borderId="0">
      <alignment vertical="center"/>
    </xf>
    <xf numFmtId="164" fontId="52" fillId="53" borderId="0">
      <alignment vertical="center"/>
    </xf>
    <xf numFmtId="164" fontId="52" fillId="54" borderId="0">
      <alignment vertical="center"/>
    </xf>
    <xf numFmtId="164" fontId="52" fillId="55" borderId="0">
      <alignment vertical="center"/>
    </xf>
    <xf numFmtId="164" fontId="55" fillId="50" borderId="0">
      <alignment vertical="center"/>
    </xf>
    <xf numFmtId="5" fontId="45" fillId="56" borderId="21">
      <alignment vertical="center"/>
      <protection locked="0"/>
    </xf>
    <xf numFmtId="7" fontId="45" fillId="56" borderId="21">
      <alignment vertical="center"/>
      <protection locked="0"/>
    </xf>
    <xf numFmtId="164" fontId="45" fillId="56" borderId="21">
      <alignment vertical="center"/>
      <protection locked="0"/>
    </xf>
    <xf numFmtId="37" fontId="45" fillId="56" borderId="21">
      <alignment vertical="center"/>
      <protection locked="0"/>
    </xf>
    <xf numFmtId="165" fontId="45" fillId="56" borderId="21">
      <alignment vertical="center"/>
      <protection locked="0"/>
    </xf>
    <xf numFmtId="166" fontId="45" fillId="56" borderId="21">
      <alignment vertical="center"/>
      <protection locked="0"/>
    </xf>
    <xf numFmtId="167" fontId="45" fillId="56" borderId="21">
      <alignment vertical="center"/>
      <protection locked="0"/>
    </xf>
    <xf numFmtId="39" fontId="45" fillId="56" borderId="21">
      <alignment vertical="center"/>
      <protection locked="0"/>
    </xf>
    <xf numFmtId="168" fontId="45" fillId="56" borderId="21">
      <alignment vertical="center"/>
      <protection locked="0"/>
    </xf>
    <xf numFmtId="164" fontId="45" fillId="56" borderId="21">
      <alignment horizontal="center" vertical="center"/>
      <protection locked="0"/>
    </xf>
    <xf numFmtId="170" fontId="45" fillId="56" borderId="21">
      <alignment vertical="center"/>
      <protection locked="0"/>
    </xf>
    <xf numFmtId="171" fontId="45" fillId="56" borderId="21">
      <alignment vertical="center"/>
      <protection locked="0"/>
    </xf>
    <xf numFmtId="164" fontId="51" fillId="57" borderId="0">
      <alignment vertical="center"/>
    </xf>
    <xf numFmtId="164" fontId="51" fillId="58" borderId="0">
      <alignment vertical="center"/>
    </xf>
    <xf numFmtId="164" fontId="52" fillId="59" borderId="0">
      <alignment vertical="center"/>
    </xf>
    <xf numFmtId="164" fontId="52" fillId="60" borderId="0">
      <alignment vertical="center"/>
    </xf>
    <xf numFmtId="164" fontId="52" fillId="61" borderId="0">
      <alignment vertical="center"/>
    </xf>
    <xf numFmtId="164" fontId="56" fillId="7" borderId="0">
      <alignment horizontal="left" vertical="center"/>
    </xf>
    <xf numFmtId="164" fontId="57" fillId="7" borderId="0">
      <alignment vertical="center"/>
    </xf>
    <xf numFmtId="164" fontId="58" fillId="7" borderId="22">
      <alignment horizontal="center" vertical="center"/>
    </xf>
    <xf numFmtId="164" fontId="51" fillId="62" borderId="0">
      <alignment vertical="center"/>
    </xf>
    <xf numFmtId="164" fontId="51" fillId="63" borderId="0">
      <alignment vertical="center"/>
    </xf>
    <xf numFmtId="164" fontId="52" fillId="64" borderId="0">
      <alignment vertical="center"/>
    </xf>
    <xf numFmtId="164" fontId="52" fillId="65" borderId="0">
      <alignment vertical="center"/>
    </xf>
    <xf numFmtId="164" fontId="52" fillId="66" borderId="0">
      <alignment vertical="center"/>
    </xf>
    <xf numFmtId="5" fontId="45" fillId="67" borderId="23">
      <alignment vertical="center"/>
      <protection locked="0"/>
    </xf>
    <xf numFmtId="7" fontId="45" fillId="67" borderId="23">
      <alignment vertical="center"/>
      <protection locked="0"/>
    </xf>
    <xf numFmtId="164" fontId="45" fillId="67" borderId="23">
      <alignment vertical="center"/>
      <protection locked="0"/>
    </xf>
    <xf numFmtId="37" fontId="45" fillId="67" borderId="23">
      <alignment vertical="center"/>
      <protection locked="0"/>
    </xf>
    <xf numFmtId="165" fontId="45" fillId="67" borderId="23">
      <alignment vertical="center"/>
      <protection locked="0"/>
    </xf>
    <xf numFmtId="166" fontId="45" fillId="67" borderId="23">
      <alignment vertical="center"/>
      <protection locked="0"/>
    </xf>
    <xf numFmtId="167" fontId="45" fillId="67" borderId="23">
      <alignment vertical="center"/>
      <protection locked="0"/>
    </xf>
    <xf numFmtId="39" fontId="45" fillId="67" borderId="23">
      <alignment vertical="center"/>
      <protection locked="0"/>
    </xf>
    <xf numFmtId="168" fontId="45" fillId="67" borderId="23">
      <alignment vertical="center"/>
      <protection locked="0"/>
    </xf>
    <xf numFmtId="164" fontId="45" fillId="67" borderId="23">
      <alignment horizontal="left" vertical="top" wrapText="1" indent="1"/>
      <protection locked="0"/>
    </xf>
    <xf numFmtId="170" fontId="45" fillId="67" borderId="23">
      <alignment vertical="center"/>
      <protection locked="0"/>
    </xf>
    <xf numFmtId="171" fontId="45" fillId="67" borderId="23">
      <alignment vertical="center"/>
      <protection locked="0"/>
    </xf>
    <xf numFmtId="164" fontId="42" fillId="7" borderId="22">
      <alignment horizontal="left" vertical="center"/>
    </xf>
    <xf numFmtId="164" fontId="42" fillId="7" borderId="22">
      <alignment horizontal="left" vertical="center" indent="1" justifyLastLine="1"/>
    </xf>
    <xf numFmtId="164" fontId="43" fillId="7" borderId="22">
      <alignment horizontal="left" vertical="center"/>
    </xf>
    <xf numFmtId="164" fontId="42" fillId="7" borderId="22">
      <alignment horizontal="center" vertical="center" justifyLastLine="1"/>
    </xf>
    <xf numFmtId="164" fontId="59" fillId="7" borderId="24">
      <alignment horizontal="left" vertical="center"/>
    </xf>
    <xf numFmtId="164" fontId="59" fillId="7" borderId="0">
      <alignment horizontal="left" vertical="center"/>
    </xf>
    <xf numFmtId="164" fontId="60" fillId="7" borderId="0">
      <alignment horizontal="center" vertical="center"/>
    </xf>
    <xf numFmtId="164" fontId="60" fillId="7" borderId="25">
      <alignment horizontal="center" vertical="center"/>
    </xf>
    <xf numFmtId="164" fontId="51" fillId="68" borderId="0">
      <alignment vertical="center"/>
    </xf>
    <xf numFmtId="164" fontId="51" fillId="69" borderId="0">
      <alignment vertical="center"/>
    </xf>
    <xf numFmtId="164" fontId="52" fillId="70" borderId="0">
      <alignment vertical="center"/>
    </xf>
    <xf numFmtId="164" fontId="52" fillId="71" borderId="0">
      <alignment vertical="center"/>
    </xf>
    <xf numFmtId="164" fontId="52" fillId="72" borderId="0">
      <alignment vertical="center"/>
    </xf>
    <xf numFmtId="164" fontId="51" fillId="73" borderId="0">
      <alignment vertical="center"/>
    </xf>
    <xf numFmtId="164" fontId="51" fillId="74" borderId="0">
      <alignment vertical="center"/>
    </xf>
    <xf numFmtId="164" fontId="52" fillId="75" borderId="0">
      <alignment vertical="center"/>
    </xf>
    <xf numFmtId="164" fontId="52" fillId="76" borderId="0">
      <alignment vertical="center"/>
    </xf>
    <xf numFmtId="164" fontId="52" fillId="77" borderId="0">
      <alignment vertical="center"/>
    </xf>
    <xf numFmtId="164" fontId="51" fillId="78" borderId="0">
      <alignment vertical="center"/>
    </xf>
    <xf numFmtId="5" fontId="61" fillId="78" borderId="0">
      <alignment vertical="center"/>
    </xf>
    <xf numFmtId="7" fontId="61" fillId="78" borderId="0">
      <alignment vertical="center"/>
    </xf>
    <xf numFmtId="164" fontId="61" fillId="78" borderId="0">
      <alignment vertical="center"/>
    </xf>
    <xf numFmtId="37" fontId="61" fillId="78" borderId="0">
      <alignment vertical="center"/>
    </xf>
    <xf numFmtId="165" fontId="61" fillId="78" borderId="0">
      <alignment vertical="center"/>
    </xf>
    <xf numFmtId="166" fontId="61" fillId="78" borderId="0">
      <alignment vertical="center"/>
    </xf>
    <xf numFmtId="167" fontId="61" fillId="78" borderId="0">
      <alignment vertical="center"/>
    </xf>
    <xf numFmtId="39" fontId="61" fillId="78" borderId="0">
      <alignment vertical="center"/>
    </xf>
    <xf numFmtId="168" fontId="61" fillId="78" borderId="0">
      <alignment vertical="center"/>
    </xf>
    <xf numFmtId="170" fontId="61" fillId="78" borderId="0">
      <alignment vertical="center"/>
    </xf>
    <xf numFmtId="171" fontId="61" fillId="78" borderId="0">
      <alignment vertical="center"/>
    </xf>
    <xf numFmtId="164" fontId="51" fillId="79" borderId="0">
      <alignment vertical="center"/>
    </xf>
    <xf numFmtId="164" fontId="52" fillId="80" borderId="0">
      <alignment vertical="center"/>
    </xf>
    <xf numFmtId="164" fontId="52" fillId="81" borderId="0">
      <alignment vertical="center"/>
    </xf>
    <xf numFmtId="164" fontId="52" fillId="82" borderId="0">
      <alignment vertical="center"/>
    </xf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287">
    <xf numFmtId="0" fontId="0" fillId="0" borderId="0" xfId="0" applyFill="1"/>
    <xf numFmtId="0" fontId="0" fillId="7" borderId="0" xfId="0"/>
    <xf numFmtId="0" fontId="3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4" borderId="0" xfId="0" applyFont="1" applyFill="1" applyAlignment="1">
      <alignment horizontal="centerContinuous" vertical="top"/>
    </xf>
    <xf numFmtId="0" fontId="7" fillId="4" borderId="1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5" fillId="3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10" fillId="6" borderId="0" xfId="0" applyFont="1" applyFill="1" applyBorder="1" applyProtection="1"/>
    <xf numFmtId="0" fontId="11" fillId="6" borderId="0" xfId="0" applyFont="1" applyFill="1" applyAlignment="1" applyProtection="1">
      <alignment horizontal="center" vertical="top"/>
    </xf>
    <xf numFmtId="0" fontId="5" fillId="0" borderId="9" xfId="0" applyFont="1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15" fillId="0" borderId="0" xfId="0" applyFont="1" applyFill="1"/>
    <xf numFmtId="0" fontId="15" fillId="0" borderId="0" xfId="0" applyFont="1" applyFill="1" applyBorder="1"/>
    <xf numFmtId="0" fontId="2" fillId="0" borderId="0" xfId="0" applyFont="1" applyFill="1"/>
    <xf numFmtId="0" fontId="14" fillId="0" borderId="0" xfId="0" applyFont="1" applyFill="1"/>
    <xf numFmtId="0" fontId="0" fillId="0" borderId="0" xfId="0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38" fontId="2" fillId="2" borderId="0" xfId="0" applyNumberFormat="1" applyFont="1" applyFill="1" applyBorder="1" applyAlignment="1">
      <alignment horizontal="left"/>
    </xf>
    <xf numFmtId="0" fontId="15" fillId="0" borderId="0" xfId="0" applyFont="1" applyFill="1"/>
    <xf numFmtId="0" fontId="0" fillId="0" borderId="0" xfId="0" applyFill="1"/>
    <xf numFmtId="0" fontId="2" fillId="2" borderId="0" xfId="0" applyFont="1" applyFill="1"/>
    <xf numFmtId="37" fontId="2" fillId="2" borderId="0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/>
    <xf numFmtId="0" fontId="0" fillId="0" borderId="0" xfId="0" applyFill="1"/>
    <xf numFmtId="0" fontId="16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" fillId="0" borderId="0" xfId="0" applyFont="1" applyFill="1"/>
    <xf numFmtId="0" fontId="21" fillId="0" borderId="0" xfId="0" applyFont="1" applyFill="1"/>
    <xf numFmtId="0" fontId="4" fillId="0" borderId="0" xfId="0" applyFont="1" applyFill="1" applyBorder="1"/>
    <xf numFmtId="0" fontId="22" fillId="0" borderId="0" xfId="0" applyFont="1" applyFill="1" applyAlignment="1">
      <alignment horizontal="left" indent="2"/>
    </xf>
    <xf numFmtId="0" fontId="12" fillId="0" borderId="0" xfId="0" applyFont="1" applyFill="1"/>
    <xf numFmtId="0" fontId="12" fillId="2" borderId="0" xfId="0" applyFont="1" applyFill="1"/>
    <xf numFmtId="0" fontId="20" fillId="2" borderId="0" xfId="0" applyFont="1" applyFill="1"/>
    <xf numFmtId="0" fontId="12" fillId="0" borderId="0" xfId="0" applyFont="1" applyFill="1"/>
    <xf numFmtId="0" fontId="20" fillId="0" borderId="0" xfId="0" applyFont="1" applyFill="1"/>
    <xf numFmtId="0" fontId="12" fillId="2" borderId="0" xfId="0" quotePrefix="1" applyFont="1" applyFill="1" applyBorder="1" applyAlignment="1">
      <alignment horizontal="left"/>
    </xf>
    <xf numFmtId="0" fontId="20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23" fillId="2" borderId="0" xfId="0" applyFont="1" applyFill="1" applyAlignment="1">
      <alignment horizontal="left"/>
    </xf>
    <xf numFmtId="0" fontId="20" fillId="2" borderId="0" xfId="0" applyFont="1" applyFill="1"/>
    <xf numFmtId="0" fontId="12" fillId="2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/>
    </xf>
    <xf numFmtId="0" fontId="24" fillId="0" borderId="0" xfId="0" applyFont="1" applyFill="1"/>
    <xf numFmtId="0" fontId="12" fillId="0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right"/>
    </xf>
    <xf numFmtId="38" fontId="12" fillId="2" borderId="0" xfId="0" applyNumberFormat="1" applyFont="1" applyFill="1" applyBorder="1" applyAlignment="1"/>
    <xf numFmtId="0" fontId="20" fillId="2" borderId="0" xfId="0" applyFont="1" applyFill="1" applyBorder="1" applyAlignment="1">
      <alignment horizontal="left"/>
    </xf>
    <xf numFmtId="164" fontId="12" fillId="2" borderId="0" xfId="0" applyNumberFormat="1" applyFont="1" applyFill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38" fontId="12" fillId="2" borderId="0" xfId="0" applyNumberFormat="1" applyFont="1" applyFill="1"/>
    <xf numFmtId="38" fontId="12" fillId="2" borderId="0" xfId="0" applyNumberFormat="1" applyFont="1" applyFill="1" applyAlignment="1">
      <alignment horizontal="right"/>
    </xf>
    <xf numFmtId="38" fontId="12" fillId="2" borderId="0" xfId="0" applyNumberFormat="1" applyFont="1" applyFill="1" applyAlignment="1">
      <alignment horizontal="left"/>
    </xf>
    <xf numFmtId="38" fontId="20" fillId="2" borderId="0" xfId="0" applyNumberFormat="1" applyFont="1" applyFill="1" applyBorder="1" applyAlignment="1">
      <alignment horizontal="left"/>
    </xf>
    <xf numFmtId="38" fontId="12" fillId="2" borderId="0" xfId="0" applyNumberFormat="1" applyFont="1" applyFill="1"/>
    <xf numFmtId="38" fontId="12" fillId="2" borderId="0" xfId="0" quotePrefix="1" applyNumberFormat="1" applyFont="1" applyFill="1" applyAlignment="1">
      <alignment horizontal="right"/>
    </xf>
    <xf numFmtId="40" fontId="12" fillId="2" borderId="0" xfId="0" applyNumberFormat="1" applyFont="1" applyFill="1" applyBorder="1" applyAlignment="1"/>
    <xf numFmtId="1" fontId="12" fillId="2" borderId="0" xfId="0" applyNumberFormat="1" applyFont="1" applyFill="1" applyBorder="1"/>
    <xf numFmtId="0" fontId="12" fillId="2" borderId="0" xfId="0" applyFont="1" applyFill="1" applyBorder="1" applyAlignment="1">
      <alignment horizontal="right"/>
    </xf>
    <xf numFmtId="39" fontId="12" fillId="2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38" fontId="12" fillId="2" borderId="0" xfId="0" applyNumberFormat="1" applyFont="1" applyFill="1" applyBorder="1"/>
    <xf numFmtId="38" fontId="12" fillId="2" borderId="0" xfId="0" applyNumberFormat="1" applyFont="1" applyFill="1" applyBorder="1" applyAlignment="1" applyProtection="1"/>
    <xf numFmtId="41" fontId="27" fillId="2" borderId="0" xfId="0" applyNumberFormat="1" applyFont="1" applyFill="1"/>
    <xf numFmtId="10" fontId="28" fillId="2" borderId="0" xfId="1" applyNumberFormat="1" applyFont="1" applyFill="1"/>
    <xf numFmtId="1" fontId="15" fillId="0" borderId="0" xfId="0" applyNumberFormat="1" applyFont="1" applyFill="1"/>
    <xf numFmtId="1" fontId="0" fillId="0" borderId="0" xfId="0" applyNumberFormat="1" applyFill="1"/>
    <xf numFmtId="37" fontId="45" fillId="67" borderId="23" xfId="197">
      <alignment vertical="center"/>
      <protection locked="0"/>
    </xf>
    <xf numFmtId="167" fontId="45" fillId="67" borderId="23" xfId="200">
      <alignment vertical="center"/>
      <protection locked="0"/>
    </xf>
    <xf numFmtId="164" fontId="49" fillId="7" borderId="0" xfId="130">
      <alignment vertical="center"/>
    </xf>
    <xf numFmtId="164" fontId="46" fillId="7" borderId="0" xfId="128">
      <alignment vertical="center"/>
    </xf>
    <xf numFmtId="164" fontId="48" fillId="41" borderId="20" xfId="110">
      <alignment horizontal="center" vertical="center" wrapText="1"/>
    </xf>
    <xf numFmtId="164" fontId="43" fillId="7" borderId="0" xfId="68">
      <alignment vertical="center"/>
    </xf>
    <xf numFmtId="164" fontId="42" fillId="7" borderId="0" xfId="80">
      <alignment horizontal="left" vertical="center"/>
    </xf>
    <xf numFmtId="37" fontId="42" fillId="7" borderId="0" xfId="74">
      <alignment vertical="center"/>
    </xf>
    <xf numFmtId="167" fontId="42" fillId="7" borderId="0" xfId="77">
      <alignment vertical="center"/>
    </xf>
    <xf numFmtId="164" fontId="42" fillId="39" borderId="19" xfId="67">
      <alignment horizontal="left" vertical="center"/>
    </xf>
    <xf numFmtId="37" fontId="42" fillId="39" borderId="19" xfId="61">
      <alignment horizontal="right" vertical="center"/>
    </xf>
    <xf numFmtId="164" fontId="44" fillId="39" borderId="19" xfId="94">
      <alignment horizontal="left" vertical="center" indent="1" justifyLastLine="1"/>
    </xf>
    <xf numFmtId="37" fontId="44" fillId="39" borderId="19" xfId="88">
      <alignment vertical="center"/>
    </xf>
    <xf numFmtId="167" fontId="44" fillId="39" borderId="19" xfId="91">
      <alignment vertical="center"/>
    </xf>
    <xf numFmtId="164" fontId="44" fillId="43" borderId="0" xfId="125">
      <alignment vertical="center"/>
    </xf>
    <xf numFmtId="37" fontId="44" fillId="43" borderId="0" xfId="119">
      <alignment vertical="center"/>
    </xf>
    <xf numFmtId="164" fontId="51" fillId="39" borderId="0" xfId="156">
      <alignment vertical="center"/>
    </xf>
    <xf numFmtId="164" fontId="51" fillId="46" borderId="0" xfId="157">
      <alignment vertical="center"/>
    </xf>
    <xf numFmtId="164" fontId="51" fillId="68" borderId="0" xfId="214">
      <alignment vertical="center"/>
    </xf>
    <xf numFmtId="164" fontId="51" fillId="73" borderId="0" xfId="219">
      <alignment vertical="center"/>
    </xf>
    <xf numFmtId="164" fontId="51" fillId="74" borderId="0" xfId="220">
      <alignment vertical="center"/>
    </xf>
    <xf numFmtId="164" fontId="51" fillId="78" borderId="0" xfId="224">
      <alignment vertical="center"/>
    </xf>
    <xf numFmtId="164" fontId="51" fillId="79" borderId="0" xfId="236">
      <alignment vertical="center"/>
    </xf>
    <xf numFmtId="164" fontId="52" fillId="80" borderId="0" xfId="237">
      <alignment vertical="center"/>
    </xf>
    <xf numFmtId="164" fontId="51" fillId="39" borderId="0" xfId="156" quotePrefix="1">
      <alignment vertical="center"/>
    </xf>
    <xf numFmtId="164" fontId="51" fillId="46" borderId="0" xfId="157" quotePrefix="1">
      <alignment vertical="center"/>
    </xf>
    <xf numFmtId="0" fontId="41" fillId="7" borderId="0" xfId="0" applyFont="1"/>
    <xf numFmtId="37" fontId="44" fillId="39" borderId="19" xfId="88" applyBorder="1">
      <alignment vertical="center"/>
    </xf>
    <xf numFmtId="0" fontId="12" fillId="0" borderId="0" xfId="0" applyFont="1" applyFill="1" applyBorder="1"/>
    <xf numFmtId="164" fontId="12" fillId="2" borderId="0" xfId="0" applyNumberFormat="1" applyFont="1" applyFill="1" applyBorder="1"/>
    <xf numFmtId="164" fontId="62" fillId="7" borderId="0" xfId="130" applyFont="1">
      <alignment vertical="center"/>
    </xf>
    <xf numFmtId="37" fontId="20" fillId="5" borderId="0" xfId="0" applyNumberFormat="1" applyFont="1" applyFill="1" applyAlignment="1">
      <alignment horizontal="left" vertical="center"/>
    </xf>
    <xf numFmtId="164" fontId="45" fillId="67" borderId="23" xfId="203">
      <alignment horizontal="left" vertical="top" wrapText="1" indent="1"/>
      <protection locked="0"/>
    </xf>
    <xf numFmtId="164" fontId="42" fillId="7" borderId="0" xfId="141">
      <alignment vertical="center"/>
    </xf>
    <xf numFmtId="164" fontId="45" fillId="67" borderId="23" xfId="203" applyAlignment="1">
      <alignment horizontal="right" vertical="center" wrapText="1" indent="1"/>
      <protection locked="0"/>
    </xf>
    <xf numFmtId="167" fontId="44" fillId="43" borderId="0" xfId="122">
      <alignment vertical="center"/>
    </xf>
    <xf numFmtId="0" fontId="64" fillId="5" borderId="6" xfId="240" applyFont="1" applyFill="1" applyBorder="1" applyProtection="1">
      <protection locked="0"/>
    </xf>
    <xf numFmtId="49" fontId="64" fillId="5" borderId="6" xfId="240" applyNumberFormat="1" applyFont="1" applyFill="1" applyBorder="1" applyProtection="1">
      <protection locked="0"/>
    </xf>
    <xf numFmtId="0" fontId="64" fillId="5" borderId="6" xfId="0" applyFont="1" applyFill="1" applyBorder="1" applyProtection="1">
      <protection locked="0"/>
    </xf>
    <xf numFmtId="49" fontId="64" fillId="5" borderId="6" xfId="0" applyNumberFormat="1" applyFont="1" applyFill="1" applyBorder="1" applyProtection="1">
      <protection locked="0"/>
    </xf>
    <xf numFmtId="0" fontId="65" fillId="83" borderId="0" xfId="0" applyFont="1" applyFill="1" applyBorder="1" applyProtection="1"/>
    <xf numFmtId="0" fontId="64" fillId="5" borderId="6" xfId="0" applyNumberFormat="1" applyFont="1" applyFill="1" applyBorder="1" applyProtection="1">
      <protection locked="0"/>
    </xf>
    <xf numFmtId="0" fontId="67" fillId="83" borderId="0" xfId="0" applyFont="1" applyFill="1" applyBorder="1" applyAlignment="1" applyProtection="1">
      <alignment horizontal="center"/>
    </xf>
    <xf numFmtId="0" fontId="67" fillId="83" borderId="0" xfId="0" applyFont="1" applyFill="1" applyBorder="1" applyAlignment="1" applyProtection="1">
      <alignment horizontal="center" vertical="center"/>
    </xf>
    <xf numFmtId="164" fontId="57" fillId="7" borderId="0" xfId="187">
      <alignment vertical="center"/>
    </xf>
    <xf numFmtId="164" fontId="46" fillId="40" borderId="0" xfId="105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5" fillId="84" borderId="0" xfId="0" applyFont="1" applyFill="1" applyAlignment="1">
      <alignment vertical="top"/>
    </xf>
    <xf numFmtId="0" fontId="0" fillId="84" borderId="0" xfId="0" applyFill="1" applyBorder="1" applyAlignment="1">
      <alignment vertical="top"/>
    </xf>
    <xf numFmtId="0" fontId="0" fillId="84" borderId="0" xfId="0" applyFill="1" applyAlignment="1">
      <alignment vertical="top"/>
    </xf>
    <xf numFmtId="0" fontId="0" fillId="84" borderId="2" xfId="0" applyFill="1" applyBorder="1" applyAlignment="1">
      <alignment vertical="top"/>
    </xf>
    <xf numFmtId="0" fontId="0" fillId="85" borderId="27" xfId="0" applyFill="1" applyBorder="1" applyAlignment="1">
      <alignment vertical="top"/>
    </xf>
    <xf numFmtId="0" fontId="0" fillId="0" borderId="27" xfId="0" applyFill="1" applyBorder="1"/>
    <xf numFmtId="0" fontId="0" fillId="0" borderId="27" xfId="0" applyFill="1" applyBorder="1" applyAlignment="1">
      <alignment vertical="top"/>
    </xf>
    <xf numFmtId="0" fontId="0" fillId="0" borderId="28" xfId="0" applyFill="1" applyBorder="1" applyAlignment="1">
      <alignment vertical="top"/>
    </xf>
    <xf numFmtId="0" fontId="0" fillId="0" borderId="28" xfId="0" applyFill="1" applyBorder="1" applyAlignment="1">
      <alignment horizontal="center" vertical="top"/>
    </xf>
    <xf numFmtId="0" fontId="5" fillId="86" borderId="28" xfId="0" applyFont="1" applyFill="1" applyBorder="1" applyAlignment="1">
      <alignment horizontal="center" vertical="top"/>
    </xf>
    <xf numFmtId="37" fontId="44" fillId="39" borderId="0" xfId="88" applyBorder="1">
      <alignment vertical="center"/>
    </xf>
    <xf numFmtId="10" fontId="42" fillId="7" borderId="0" xfId="1" applyNumberFormat="1" applyFont="1" applyFill="1" applyAlignment="1">
      <alignment vertical="center"/>
    </xf>
    <xf numFmtId="44" fontId="44" fillId="39" borderId="0" xfId="241" applyFont="1" applyFill="1" applyBorder="1" applyAlignment="1">
      <alignment vertical="center"/>
    </xf>
    <xf numFmtId="10" fontId="44" fillId="39" borderId="0" xfId="1" applyNumberFormat="1" applyFont="1" applyFill="1" applyBorder="1" applyAlignment="1">
      <alignment vertical="center"/>
    </xf>
    <xf numFmtId="39" fontId="44" fillId="39" borderId="26" xfId="88" applyNumberFormat="1" applyBorder="1">
      <alignment vertical="center"/>
    </xf>
    <xf numFmtId="39" fontId="44" fillId="39" borderId="19" xfId="88" applyNumberFormat="1" applyBorder="1">
      <alignment vertical="center"/>
    </xf>
    <xf numFmtId="164" fontId="51" fillId="39" borderId="29" xfId="156" applyBorder="1">
      <alignment vertical="center"/>
    </xf>
    <xf numFmtId="164" fontId="51" fillId="46" borderId="29" xfId="157" applyBorder="1">
      <alignment vertical="center"/>
    </xf>
    <xf numFmtId="164" fontId="52" fillId="80" borderId="29" xfId="237" applyBorder="1">
      <alignment vertical="center"/>
    </xf>
    <xf numFmtId="164" fontId="51" fillId="78" borderId="29" xfId="224" applyBorder="1">
      <alignment vertical="center"/>
    </xf>
    <xf numFmtId="0" fontId="12" fillId="2" borderId="29" xfId="0" applyFont="1" applyFill="1" applyBorder="1" applyAlignment="1">
      <alignment horizontal="left"/>
    </xf>
    <xf numFmtId="164" fontId="42" fillId="7" borderId="29" xfId="80" applyBorder="1">
      <alignment horizontal="left" vertical="center"/>
    </xf>
    <xf numFmtId="38" fontId="12" fillId="2" borderId="29" xfId="0" applyNumberFormat="1" applyFont="1" applyFill="1" applyBorder="1" applyAlignment="1"/>
    <xf numFmtId="37" fontId="42" fillId="7" borderId="29" xfId="74" applyBorder="1">
      <alignment vertical="center"/>
    </xf>
    <xf numFmtId="10" fontId="42" fillId="7" borderId="29" xfId="1" applyNumberFormat="1" applyFont="1" applyFill="1" applyBorder="1" applyAlignment="1">
      <alignment vertical="center"/>
    </xf>
    <xf numFmtId="0" fontId="12" fillId="2" borderId="29" xfId="0" applyFont="1" applyFill="1" applyBorder="1"/>
    <xf numFmtId="164" fontId="51" fillId="79" borderId="29" xfId="236" applyBorder="1">
      <alignment vertical="center"/>
    </xf>
    <xf numFmtId="164" fontId="68" fillId="39" borderId="0" xfId="156" applyFont="1">
      <alignment vertical="center"/>
    </xf>
    <xf numFmtId="164" fontId="68" fillId="46" borderId="0" xfId="157" applyFont="1">
      <alignment vertical="center"/>
    </xf>
    <xf numFmtId="164" fontId="68" fillId="73" borderId="0" xfId="219" applyFont="1">
      <alignment vertical="center"/>
    </xf>
    <xf numFmtId="164" fontId="68" fillId="80" borderId="0" xfId="237" applyFont="1">
      <alignment vertical="center"/>
    </xf>
    <xf numFmtId="164" fontId="68" fillId="80" borderId="29" xfId="237" applyFont="1" applyBorder="1">
      <alignment vertical="center"/>
    </xf>
    <xf numFmtId="164" fontId="45" fillId="0" borderId="23" xfId="203" applyFill="1" applyAlignment="1">
      <alignment horizontal="right" vertical="center" wrapText="1" indent="1"/>
      <protection locked="0"/>
    </xf>
    <xf numFmtId="164" fontId="69" fillId="73" borderId="0" xfId="219" applyFont="1">
      <alignment vertical="center"/>
    </xf>
    <xf numFmtId="164" fontId="69" fillId="74" borderId="0" xfId="220" applyFont="1">
      <alignment vertical="center"/>
    </xf>
    <xf numFmtId="164" fontId="43" fillId="39" borderId="19" xfId="67" applyFont="1">
      <alignment horizontal="left" vertical="center"/>
    </xf>
    <xf numFmtId="1" fontId="2" fillId="0" borderId="0" xfId="0" applyNumberFormat="1" applyFont="1" applyFill="1"/>
    <xf numFmtId="164" fontId="45" fillId="0" borderId="30" xfId="203" applyFill="1" applyBorder="1" applyAlignment="1">
      <alignment horizontal="right" vertical="center" wrapText="1" indent="1"/>
      <protection locked="0"/>
    </xf>
    <xf numFmtId="164" fontId="45" fillId="67" borderId="30" xfId="203" applyBorder="1" applyAlignment="1">
      <alignment horizontal="right" vertical="center" wrapText="1" indent="1"/>
      <protection locked="0"/>
    </xf>
    <xf numFmtId="164" fontId="51" fillId="73" borderId="31" xfId="219" applyBorder="1">
      <alignment vertical="center"/>
    </xf>
    <xf numFmtId="164" fontId="51" fillId="74" borderId="31" xfId="220" applyBorder="1">
      <alignment vertical="center"/>
    </xf>
    <xf numFmtId="164" fontId="42" fillId="7" borderId="31" xfId="141" applyBorder="1">
      <alignment vertical="center"/>
    </xf>
    <xf numFmtId="0" fontId="15" fillId="0" borderId="31" xfId="0" applyFont="1" applyFill="1" applyBorder="1"/>
    <xf numFmtId="164" fontId="45" fillId="0" borderId="32" xfId="203" applyFill="1" applyBorder="1" applyAlignment="1">
      <alignment horizontal="right" vertical="center" wrapText="1" indent="1"/>
      <protection locked="0"/>
    </xf>
    <xf numFmtId="0" fontId="0" fillId="0" borderId="31" xfId="0" applyFill="1" applyBorder="1"/>
    <xf numFmtId="164" fontId="45" fillId="67" borderId="32" xfId="203" applyBorder="1" applyAlignment="1">
      <alignment horizontal="right" vertical="center" wrapText="1" indent="1"/>
      <protection locked="0"/>
    </xf>
    <xf numFmtId="164" fontId="51" fillId="73" borderId="0" xfId="219" applyBorder="1">
      <alignment vertical="center"/>
    </xf>
    <xf numFmtId="164" fontId="51" fillId="74" borderId="0" xfId="220" applyBorder="1">
      <alignment vertical="center"/>
    </xf>
    <xf numFmtId="164" fontId="42" fillId="7" borderId="0" xfId="141" applyBorder="1">
      <alignment vertical="center"/>
    </xf>
    <xf numFmtId="164" fontId="45" fillId="0" borderId="23" xfId="203" applyFill="1" applyBorder="1" applyAlignment="1">
      <alignment horizontal="right" vertical="center" wrapText="1" indent="1"/>
      <protection locked="0"/>
    </xf>
    <xf numFmtId="0" fontId="0" fillId="0" borderId="0" xfId="0" applyFill="1" applyBorder="1"/>
    <xf numFmtId="164" fontId="45" fillId="67" borderId="23" xfId="203" applyBorder="1" applyAlignment="1">
      <alignment horizontal="right" vertical="center" wrapText="1" indent="1"/>
      <protection locked="0"/>
    </xf>
    <xf numFmtId="164" fontId="51" fillId="73" borderId="33" xfId="219" applyBorder="1">
      <alignment vertical="center"/>
    </xf>
    <xf numFmtId="164" fontId="51" fillId="74" borderId="33" xfId="220" applyBorder="1">
      <alignment vertical="center"/>
    </xf>
    <xf numFmtId="164" fontId="42" fillId="7" borderId="33" xfId="141" applyBorder="1">
      <alignment vertical="center"/>
    </xf>
    <xf numFmtId="0" fontId="15" fillId="0" borderId="33" xfId="0" applyFont="1" applyFill="1" applyBorder="1"/>
    <xf numFmtId="164" fontId="45" fillId="0" borderId="34" xfId="203" applyFill="1" applyBorder="1" applyAlignment="1">
      <alignment horizontal="right" vertical="center" wrapText="1" indent="1"/>
      <protection locked="0"/>
    </xf>
    <xf numFmtId="0" fontId="0" fillId="0" borderId="33" xfId="0" applyFill="1" applyBorder="1"/>
    <xf numFmtId="164" fontId="45" fillId="67" borderId="34" xfId="203" applyBorder="1" applyAlignment="1">
      <alignment horizontal="right" vertical="center" wrapText="1" indent="1"/>
      <protection locked="0"/>
    </xf>
    <xf numFmtId="0" fontId="70" fillId="87" borderId="0" xfId="240" applyFont="1" applyFill="1" applyAlignment="1">
      <alignment horizontal="left" vertical="center"/>
    </xf>
    <xf numFmtId="0" fontId="70" fillId="87" borderId="0" xfId="240" applyFont="1" applyFill="1" applyAlignment="1">
      <alignment horizontal="center" vertical="center"/>
    </xf>
    <xf numFmtId="0" fontId="70" fillId="87" borderId="0" xfId="240" applyFont="1" applyFill="1" applyAlignment="1">
      <alignment horizontal="right" vertical="center"/>
    </xf>
    <xf numFmtId="0" fontId="71" fillId="87" borderId="0" xfId="240" applyFont="1" applyFill="1" applyAlignment="1">
      <alignment horizontal="right" vertical="center"/>
    </xf>
    <xf numFmtId="0" fontId="72" fillId="5" borderId="6" xfId="240" applyFont="1" applyFill="1" applyBorder="1" applyProtection="1">
      <protection locked="0"/>
    </xf>
    <xf numFmtId="0" fontId="72" fillId="87" borderId="7" xfId="240" applyFont="1" applyFill="1" applyBorder="1"/>
    <xf numFmtId="0" fontId="70" fillId="87" borderId="0" xfId="240" applyFont="1" applyFill="1" applyAlignment="1">
      <alignment horizontal="left" indent="1"/>
    </xf>
    <xf numFmtId="0" fontId="73" fillId="87" borderId="0" xfId="240" applyFont="1" applyFill="1"/>
    <xf numFmtId="0" fontId="74" fillId="87" borderId="0" xfId="240" applyFont="1" applyFill="1"/>
    <xf numFmtId="0" fontId="70" fillId="87" borderId="0" xfId="240" applyFont="1" applyFill="1" applyAlignment="1">
      <alignment horizontal="center" vertical="top"/>
    </xf>
    <xf numFmtId="0" fontId="73" fillId="87" borderId="0" xfId="240" applyFont="1" applyFill="1" applyAlignment="1">
      <alignment horizontal="left" vertical="top"/>
    </xf>
    <xf numFmtId="0" fontId="75" fillId="87" borderId="0" xfId="240" applyFont="1" applyFill="1"/>
    <xf numFmtId="0" fontId="76" fillId="87" borderId="0" xfId="240" applyFont="1" applyFill="1" applyAlignment="1">
      <alignment horizontal="center" vertical="top"/>
    </xf>
    <xf numFmtId="0" fontId="77" fillId="87" borderId="0" xfId="240" applyFont="1" applyFill="1"/>
    <xf numFmtId="0" fontId="72" fillId="5" borderId="6" xfId="240" applyFont="1" applyFill="1" applyBorder="1"/>
    <xf numFmtId="0" fontId="73" fillId="87" borderId="0" xfId="240" applyFont="1" applyFill="1" applyAlignment="1">
      <alignment horizontal="left" indent="3"/>
    </xf>
    <xf numFmtId="0" fontId="77" fillId="87" borderId="0" xfId="240" applyFont="1" applyFill="1" applyAlignment="1">
      <alignment horizontal="left" indent="3"/>
    </xf>
    <xf numFmtId="49" fontId="72" fillId="5" borderId="6" xfId="240" applyNumberFormat="1" applyFont="1" applyFill="1" applyBorder="1" applyProtection="1">
      <protection locked="0"/>
    </xf>
    <xf numFmtId="49" fontId="73" fillId="87" borderId="0" xfId="240" applyNumberFormat="1" applyFont="1" applyFill="1"/>
    <xf numFmtId="0" fontId="73" fillId="87" borderId="0" xfId="240" applyFont="1" applyFill="1" applyAlignment="1">
      <alignment horizontal="left" indent="1"/>
    </xf>
    <xf numFmtId="0" fontId="70" fillId="87" borderId="0" xfId="240" applyFont="1" applyFill="1"/>
    <xf numFmtId="0" fontId="70" fillId="5" borderId="6" xfId="240" applyFont="1" applyFill="1" applyBorder="1" applyProtection="1">
      <protection locked="0"/>
    </xf>
    <xf numFmtId="0" fontId="78" fillId="87" borderId="0" xfId="240" applyFont="1" applyFill="1" applyAlignment="1">
      <alignment horizontal="center" vertical="top"/>
    </xf>
    <xf numFmtId="0" fontId="72" fillId="5" borderId="6" xfId="240" applyFont="1" applyFill="1" applyBorder="1" applyAlignment="1" applyProtection="1">
      <alignment wrapText="1"/>
      <protection locked="0"/>
    </xf>
    <xf numFmtId="0" fontId="70" fillId="87" borderId="0" xfId="240" applyFont="1" applyFill="1" applyAlignment="1">
      <alignment horizontal="left" vertical="top" wrapText="1"/>
    </xf>
    <xf numFmtId="0" fontId="9" fillId="6" borderId="8" xfId="240" applyFont="1" applyFill="1" applyBorder="1" applyAlignment="1">
      <alignment horizontal="left" indent="1"/>
    </xf>
    <xf numFmtId="0" fontId="10" fillId="6" borderId="0" xfId="240" applyFont="1" applyFill="1"/>
    <xf numFmtId="0" fontId="11" fillId="6" borderId="0" xfId="240" applyFont="1" applyFill="1" applyAlignment="1">
      <alignment horizontal="center" vertical="top"/>
    </xf>
    <xf numFmtId="0" fontId="70" fillId="87" borderId="8" xfId="240" applyFont="1" applyFill="1" applyBorder="1" applyAlignment="1">
      <alignment horizontal="left" indent="1"/>
    </xf>
    <xf numFmtId="0" fontId="70" fillId="87" borderId="0" xfId="240" applyFont="1" applyFill="1" applyAlignment="1">
      <alignment horizontal="left" vertical="top" indent="1"/>
    </xf>
    <xf numFmtId="0" fontId="70" fillId="87" borderId="0" xfId="240" applyFont="1" applyFill="1" applyAlignment="1">
      <alignment horizontal="left"/>
    </xf>
    <xf numFmtId="0" fontId="79" fillId="87" borderId="0" xfId="240" applyFont="1" applyFill="1" applyAlignment="1">
      <alignment horizontal="left" vertical="top" indent="1"/>
    </xf>
    <xf numFmtId="0" fontId="73" fillId="87" borderId="0" xfId="240" applyFont="1" applyFill="1" applyAlignment="1">
      <alignment horizontal="left" vertical="top" indent="1"/>
    </xf>
    <xf numFmtId="0" fontId="70" fillId="87" borderId="8" xfId="240" applyFont="1" applyFill="1" applyBorder="1" applyAlignment="1">
      <alignment horizontal="left" vertical="center" indent="1"/>
    </xf>
    <xf numFmtId="0" fontId="70" fillId="87" borderId="0" xfId="240" applyFont="1" applyFill="1" applyAlignment="1">
      <alignment horizontal="left" wrapText="1"/>
    </xf>
    <xf numFmtId="0" fontId="80" fillId="5" borderId="6" xfId="240" applyFont="1" applyFill="1" applyBorder="1" applyAlignment="1" applyProtection="1">
      <alignment vertical="top" wrapText="1"/>
      <protection locked="0"/>
    </xf>
    <xf numFmtId="0" fontId="76" fillId="87" borderId="0" xfId="240" applyFont="1" applyFill="1" applyAlignment="1">
      <alignment horizontal="left" vertical="top" wrapText="1"/>
    </xf>
    <xf numFmtId="0" fontId="73" fillId="87" borderId="0" xfId="240" applyFont="1" applyFill="1" applyAlignment="1">
      <alignment horizontal="left" vertical="top" wrapText="1"/>
    </xf>
    <xf numFmtId="0" fontId="79" fillId="87" borderId="0" xfId="240" applyFont="1" applyFill="1"/>
    <xf numFmtId="0" fontId="70" fillId="87" borderId="0" xfId="240" applyFont="1" applyFill="1" applyAlignment="1">
      <alignment horizontal="left" vertical="top" indent="3"/>
    </xf>
    <xf numFmtId="0" fontId="73" fillId="87" borderId="0" xfId="240" applyFont="1" applyFill="1" applyAlignment="1">
      <alignment horizontal="left" vertical="top" indent="5"/>
    </xf>
    <xf numFmtId="0" fontId="63" fillId="83" borderId="8" xfId="240" applyFont="1" applyFill="1" applyBorder="1" applyAlignment="1">
      <alignment horizontal="left" indent="1"/>
    </xf>
    <xf numFmtId="0" fontId="65" fillId="83" borderId="0" xfId="240" applyFont="1" applyFill="1"/>
    <xf numFmtId="0" fontId="65" fillId="83" borderId="0" xfId="240" applyFont="1" applyFill="1" applyAlignment="1">
      <alignment horizontal="left" vertical="top" indent="1"/>
    </xf>
    <xf numFmtId="49" fontId="65" fillId="83" borderId="0" xfId="240" applyNumberFormat="1" applyFont="1" applyFill="1"/>
    <xf numFmtId="0" fontId="67" fillId="83" borderId="0" xfId="240" applyFont="1" applyFill="1" applyAlignment="1">
      <alignment horizontal="center" vertical="center"/>
    </xf>
    <xf numFmtId="0" fontId="67" fillId="83" borderId="0" xfId="240" applyFont="1" applyFill="1" applyAlignment="1">
      <alignment horizontal="center"/>
    </xf>
    <xf numFmtId="0" fontId="65" fillId="83" borderId="0" xfId="240" applyFont="1" applyFill="1" applyAlignment="1">
      <alignment horizontal="left" vertical="top" indent="7"/>
    </xf>
    <xf numFmtId="0" fontId="66" fillId="83" borderId="0" xfId="240" applyFont="1" applyFill="1"/>
    <xf numFmtId="0" fontId="65" fillId="83" borderId="0" xfId="240" applyFont="1" applyFill="1" applyAlignment="1">
      <alignment horizontal="left" vertical="top" indent="5"/>
    </xf>
    <xf numFmtId="0" fontId="73" fillId="87" borderId="0" xfId="240" applyFont="1" applyFill="1" applyAlignment="1">
      <alignment horizontal="left" vertical="top" indent="2"/>
    </xf>
    <xf numFmtId="0" fontId="81" fillId="87" borderId="0" xfId="240" applyFont="1" applyFill="1" applyAlignment="1">
      <alignment horizontal="center" vertical="center"/>
    </xf>
    <xf numFmtId="0" fontId="81" fillId="87" borderId="0" xfId="240" applyFont="1" applyFill="1" applyAlignment="1">
      <alignment horizontal="center"/>
    </xf>
    <xf numFmtId="0" fontId="82" fillId="87" borderId="0" xfId="240" applyFont="1" applyFill="1" applyAlignment="1">
      <alignment horizontal="centerContinuous"/>
    </xf>
    <xf numFmtId="0" fontId="72" fillId="5" borderId="6" xfId="0" applyFont="1" applyFill="1" applyBorder="1" applyProtection="1">
      <protection locked="0"/>
    </xf>
    <xf numFmtId="0" fontId="73" fillId="87" borderId="0" xfId="0" applyFont="1" applyFill="1" applyAlignment="1" applyProtection="1"/>
    <xf numFmtId="0" fontId="73" fillId="87" borderId="0" xfId="0" applyFont="1" applyFill="1" applyProtection="1"/>
    <xf numFmtId="0" fontId="70" fillId="87" borderId="0" xfId="0" applyFont="1" applyFill="1" applyBorder="1" applyAlignment="1" applyProtection="1">
      <alignment horizontal="center" vertical="top"/>
    </xf>
    <xf numFmtId="0" fontId="76" fillId="87" borderId="0" xfId="0" applyFont="1" applyFill="1" applyAlignment="1" applyProtection="1">
      <alignment horizontal="center" vertical="top"/>
    </xf>
    <xf numFmtId="0" fontId="72" fillId="5" borderId="6" xfId="0" applyFont="1" applyFill="1" applyBorder="1" applyProtection="1"/>
    <xf numFmtId="49" fontId="72" fillId="5" borderId="6" xfId="0" applyNumberFormat="1" applyFont="1" applyFill="1" applyBorder="1" applyProtection="1">
      <protection locked="0"/>
    </xf>
    <xf numFmtId="0" fontId="73" fillId="87" borderId="0" xfId="0" applyFont="1" applyFill="1" applyAlignment="1" applyProtection="1">
      <alignment horizontal="left" indent="1"/>
    </xf>
    <xf numFmtId="0" fontId="74" fillId="87" borderId="0" xfId="0" applyFont="1" applyFill="1" applyProtection="1"/>
    <xf numFmtId="0" fontId="72" fillId="5" borderId="6" xfId="0" applyFont="1" applyFill="1" applyBorder="1" applyAlignment="1" applyProtection="1">
      <alignment wrapText="1"/>
      <protection locked="0"/>
    </xf>
    <xf numFmtId="0" fontId="73" fillId="87" borderId="0" xfId="0" applyFont="1" applyFill="1" applyBorder="1" applyProtection="1"/>
    <xf numFmtId="0" fontId="72" fillId="5" borderId="6" xfId="0" applyNumberFormat="1" applyFont="1" applyFill="1" applyBorder="1" applyProtection="1">
      <protection locked="0"/>
    </xf>
    <xf numFmtId="0" fontId="80" fillId="5" borderId="6" xfId="0" applyNumberFormat="1" applyFont="1" applyFill="1" applyBorder="1" applyAlignment="1" applyProtection="1">
      <alignment vertical="top" wrapText="1"/>
      <protection locked="0"/>
    </xf>
    <xf numFmtId="0" fontId="81" fillId="87" borderId="0" xfId="0" applyFont="1" applyFill="1" applyBorder="1" applyAlignment="1" applyProtection="1">
      <alignment horizontal="center"/>
    </xf>
    <xf numFmtId="0" fontId="71" fillId="87" borderId="0" xfId="0" applyFont="1" applyFill="1" applyAlignment="1" applyProtection="1">
      <alignment horizontal="right" vertical="center"/>
    </xf>
    <xf numFmtId="0" fontId="78" fillId="87" borderId="0" xfId="0" applyFont="1" applyFill="1" applyAlignment="1" applyProtection="1">
      <alignment horizontal="center" vertical="top"/>
    </xf>
    <xf numFmtId="0" fontId="70" fillId="87" borderId="0" xfId="0" applyFont="1" applyFill="1" applyBorder="1" applyAlignment="1" applyProtection="1">
      <alignment horizontal="left"/>
    </xf>
    <xf numFmtId="0" fontId="70" fillId="87" borderId="0" xfId="0" applyFont="1" applyFill="1" applyBorder="1" applyAlignment="1" applyProtection="1">
      <alignment horizontal="left" wrapText="1"/>
    </xf>
    <xf numFmtId="0" fontId="81" fillId="87" borderId="0" xfId="0" applyFont="1" applyFill="1" applyBorder="1" applyAlignment="1" applyProtection="1">
      <alignment horizontal="center" vertical="center"/>
    </xf>
    <xf numFmtId="0" fontId="72" fillId="5" borderId="6" xfId="240" applyNumberFormat="1" applyFont="1" applyFill="1" applyBorder="1"/>
    <xf numFmtId="0" fontId="72" fillId="5" borderId="6" xfId="240" applyNumberFormat="1" applyFont="1" applyFill="1" applyBorder="1" applyProtection="1">
      <protection locked="0"/>
    </xf>
    <xf numFmtId="164" fontId="51" fillId="88" borderId="0" xfId="156" applyFill="1">
      <alignment vertical="center"/>
    </xf>
    <xf numFmtId="164" fontId="51" fillId="88" borderId="0" xfId="157" applyFill="1">
      <alignment vertical="center"/>
    </xf>
    <xf numFmtId="164" fontId="52" fillId="88" borderId="0" xfId="237" applyFill="1">
      <alignment vertical="center"/>
    </xf>
    <xf numFmtId="164" fontId="51" fillId="88" borderId="0" xfId="224" applyFill="1">
      <alignment vertical="center"/>
    </xf>
    <xf numFmtId="164" fontId="68" fillId="88" borderId="0" xfId="237" applyFont="1" applyFill="1">
      <alignment vertical="center"/>
    </xf>
    <xf numFmtId="0" fontId="12" fillId="88" borderId="0" xfId="0" applyFont="1" applyFill="1"/>
    <xf numFmtId="0" fontId="12" fillId="88" borderId="0" xfId="0" applyFont="1" applyFill="1" applyAlignment="1">
      <alignment horizontal="left"/>
    </xf>
    <xf numFmtId="0" fontId="20" fillId="88" borderId="0" xfId="0" applyFont="1" applyFill="1"/>
    <xf numFmtId="164" fontId="51" fillId="88" borderId="0" xfId="215" applyFill="1">
      <alignment vertical="center"/>
    </xf>
    <xf numFmtId="9" fontId="51" fillId="79" borderId="0" xfId="1" applyFont="1" applyFill="1" applyAlignment="1">
      <alignment vertical="center"/>
    </xf>
    <xf numFmtId="41" fontId="51" fillId="79" borderId="0" xfId="242" applyNumberFormat="1" applyFont="1" applyFill="1" applyAlignment="1">
      <alignment vertical="center"/>
    </xf>
    <xf numFmtId="164" fontId="84" fillId="41" borderId="20" xfId="110" applyFont="1">
      <alignment horizontal="center" vertical="center" wrapText="1"/>
    </xf>
    <xf numFmtId="164" fontId="47" fillId="7" borderId="0" xfId="128" applyFont="1">
      <alignment vertical="center"/>
    </xf>
    <xf numFmtId="164" fontId="47" fillId="7" borderId="0" xfId="128" applyFont="1" applyAlignment="1">
      <alignment horizontal="center" vertical="center"/>
    </xf>
    <xf numFmtId="0" fontId="85" fillId="0" borderId="0" xfId="0" applyFont="1" applyFill="1"/>
    <xf numFmtId="164" fontId="51" fillId="79" borderId="0" xfId="236" applyAlignment="1">
      <alignment horizontal="center" vertical="center"/>
    </xf>
  </cellXfs>
  <cellStyles count="243">
    <cellStyle name="00 Blk Hdr (A)" xfId="43" xr:uid="{00000000-0005-0000-0000-000000000000}"/>
    <cellStyle name="00 Blk Rcd ($0)" xfId="44" xr:uid="{00000000-0005-0000-0000-000001000000}"/>
    <cellStyle name="00 Blk Rcd ($0.00)" xfId="45" xr:uid="{00000000-0005-0000-0000-000002000000}"/>
    <cellStyle name="00 Blk Rcd (0)" xfId="46" xr:uid="{00000000-0005-0000-0000-000003000000}"/>
    <cellStyle name="00 Blk Rcd (0,)" xfId="47" xr:uid="{00000000-0005-0000-0000-000004000000}"/>
    <cellStyle name="00 Blk Rcd (0.0%)" xfId="48" xr:uid="{00000000-0005-0000-0000-000005000000}"/>
    <cellStyle name="00 Blk Rcd (0.0)" xfId="49" xr:uid="{00000000-0005-0000-0000-000006000000}"/>
    <cellStyle name="00 Blk Rcd (0.00%)" xfId="50" xr:uid="{00000000-0005-0000-0000-000007000000}"/>
    <cellStyle name="00 Blk Rcd (0.00)" xfId="51" xr:uid="{00000000-0005-0000-0000-000008000000}"/>
    <cellStyle name="00 Blk Rcd (0.000)" xfId="52" xr:uid="{00000000-0005-0000-0000-000009000000}"/>
    <cellStyle name="00 Blk Rcd (0.0000)" xfId="53" xr:uid="{00000000-0005-0000-0000-00000A000000}"/>
    <cellStyle name="00 Blk Rcd (A)" xfId="54" xr:uid="{00000000-0005-0000-0000-00000B000000}"/>
    <cellStyle name="00 Blk Rcd (B)" xfId="55" xr:uid="{00000000-0005-0000-0000-00000C000000}"/>
    <cellStyle name="00 Blk Rcd (MDY)" xfId="56" xr:uid="{00000000-0005-0000-0000-00000D000000}"/>
    <cellStyle name="00 Blk Rcd (MY)" xfId="57" xr:uid="{00000000-0005-0000-0000-00000E000000}"/>
    <cellStyle name="00 Blk Ttl ($0)" xfId="58" xr:uid="{00000000-0005-0000-0000-00000F000000}"/>
    <cellStyle name="00 Blk Ttl ($0.00)" xfId="59" xr:uid="{00000000-0005-0000-0000-000010000000}"/>
    <cellStyle name="00 Blk Ttl (0)" xfId="60" xr:uid="{00000000-0005-0000-0000-000011000000}"/>
    <cellStyle name="00 Blk Ttl (0,)" xfId="61" xr:uid="{00000000-0005-0000-0000-000012000000}"/>
    <cellStyle name="00 Blk Ttl (0.0%)" xfId="62" xr:uid="{00000000-0005-0000-0000-000013000000}"/>
    <cellStyle name="00 Blk Ttl (0.0)" xfId="63" xr:uid="{00000000-0005-0000-0000-000014000000}"/>
    <cellStyle name="00 Blk Ttl (0.00%)" xfId="64" xr:uid="{00000000-0005-0000-0000-000015000000}"/>
    <cellStyle name="00 Blk Ttl (0.00)" xfId="65" xr:uid="{00000000-0005-0000-0000-000016000000}"/>
    <cellStyle name="00 Blk Ttl (0.000)" xfId="66" xr:uid="{00000000-0005-0000-0000-000017000000}"/>
    <cellStyle name="00 Blk Ttl (A)" xfId="67" xr:uid="{00000000-0005-0000-0000-000018000000}"/>
    <cellStyle name="00 Grp Hdr (A)" xfId="68" xr:uid="{00000000-0005-0000-0000-000019000000}"/>
    <cellStyle name="00 Grp Hdr (C)" xfId="69" xr:uid="{00000000-0005-0000-0000-00001A000000}"/>
    <cellStyle name="00 Grp Hdr (D)" xfId="70" xr:uid="{00000000-0005-0000-0000-00001B000000}"/>
    <cellStyle name="00 Grp Rcd ($0)" xfId="71" xr:uid="{00000000-0005-0000-0000-00001C000000}"/>
    <cellStyle name="00 Grp Rcd ($0.00)" xfId="72" xr:uid="{00000000-0005-0000-0000-00001D000000}"/>
    <cellStyle name="00 Grp Rcd (0)" xfId="73" xr:uid="{00000000-0005-0000-0000-00001E000000}"/>
    <cellStyle name="00 Grp Rcd (0,)" xfId="74" xr:uid="{00000000-0005-0000-0000-00001F000000}"/>
    <cellStyle name="00 Grp Rcd (0.0%)" xfId="75" xr:uid="{00000000-0005-0000-0000-000020000000}"/>
    <cellStyle name="00 Grp Rcd (0.0)" xfId="76" xr:uid="{00000000-0005-0000-0000-000021000000}"/>
    <cellStyle name="00 Grp Rcd (0.00%)" xfId="77" xr:uid="{00000000-0005-0000-0000-000022000000}"/>
    <cellStyle name="00 Grp Rcd (0.00)" xfId="78" xr:uid="{00000000-0005-0000-0000-000023000000}"/>
    <cellStyle name="00 Grp Rcd (0.000)" xfId="79" xr:uid="{00000000-0005-0000-0000-000024000000}"/>
    <cellStyle name="00 Grp Rcd (A)" xfId="80" xr:uid="{00000000-0005-0000-0000-000025000000}"/>
    <cellStyle name="00 Grp Rcd (B)" xfId="81" xr:uid="{00000000-0005-0000-0000-000026000000}"/>
    <cellStyle name="00 Grp Rcd (C)" xfId="82" xr:uid="{00000000-0005-0000-0000-000027000000}"/>
    <cellStyle name="00 Grp Rcd (MDY)" xfId="83" xr:uid="{00000000-0005-0000-0000-000028000000}"/>
    <cellStyle name="00 Grp Rcd (MY)" xfId="84" xr:uid="{00000000-0005-0000-0000-000029000000}"/>
    <cellStyle name="00 Grp Ttl ($0)" xfId="85" xr:uid="{00000000-0005-0000-0000-00002A000000}"/>
    <cellStyle name="00 Grp Ttl ($0.00)" xfId="86" xr:uid="{00000000-0005-0000-0000-00002B000000}"/>
    <cellStyle name="00 Grp Ttl (0)" xfId="87" xr:uid="{00000000-0005-0000-0000-00002C000000}"/>
    <cellStyle name="00 Grp Ttl (0,)" xfId="88" xr:uid="{00000000-0005-0000-0000-00002D000000}"/>
    <cellStyle name="00 Grp Ttl (0.0%)" xfId="89" xr:uid="{00000000-0005-0000-0000-00002E000000}"/>
    <cellStyle name="00 Grp Ttl (0.0)" xfId="90" xr:uid="{00000000-0005-0000-0000-00002F000000}"/>
    <cellStyle name="00 Grp Ttl (0.00%)" xfId="91" xr:uid="{00000000-0005-0000-0000-000030000000}"/>
    <cellStyle name="00 Grp Ttl (0.00)" xfId="92" xr:uid="{00000000-0005-0000-0000-000031000000}"/>
    <cellStyle name="00 Grp Ttl (0.000)" xfId="93" xr:uid="{00000000-0005-0000-0000-000032000000}"/>
    <cellStyle name="00 Grp Ttl (A)" xfId="94" xr:uid="{00000000-0005-0000-0000-000033000000}"/>
    <cellStyle name="00 Rpt Bnr ($0)" xfId="95" xr:uid="{00000000-0005-0000-0000-000034000000}"/>
    <cellStyle name="00 Rpt Bnr ($0.00)" xfId="96" xr:uid="{00000000-0005-0000-0000-000035000000}"/>
    <cellStyle name="00 Rpt Bnr (0)" xfId="97" xr:uid="{00000000-0005-0000-0000-000036000000}"/>
    <cellStyle name="00 Rpt Bnr (0,)" xfId="98" xr:uid="{00000000-0005-0000-0000-000037000000}"/>
    <cellStyle name="00 Rpt Bnr (0.0%)" xfId="99" xr:uid="{00000000-0005-0000-0000-000038000000}"/>
    <cellStyle name="00 Rpt Bnr (0.0)" xfId="100" xr:uid="{00000000-0005-0000-0000-000039000000}"/>
    <cellStyle name="00 Rpt Bnr (0.00%)" xfId="101" xr:uid="{00000000-0005-0000-0000-00003A000000}"/>
    <cellStyle name="00 Rpt Bnr (0.00)" xfId="102" xr:uid="{00000000-0005-0000-0000-00003B000000}"/>
    <cellStyle name="00 Rpt Bnr (0.000)" xfId="103" xr:uid="{00000000-0005-0000-0000-00003C000000}"/>
    <cellStyle name="00 Rpt Bnr (A)" xfId="104" xr:uid="{00000000-0005-0000-0000-00003D000000}"/>
    <cellStyle name="00 Rpt Bnr (B)" xfId="105" xr:uid="{00000000-0005-0000-0000-00003E000000}"/>
    <cellStyle name="00 Rpt Bnr (C)" xfId="106" xr:uid="{00000000-0005-0000-0000-00003F000000}"/>
    <cellStyle name="00 Rpt Bnr (D)" xfId="107" xr:uid="{00000000-0005-0000-0000-000040000000}"/>
    <cellStyle name="00 Rpt Bnr (MDY)" xfId="108" xr:uid="{00000000-0005-0000-0000-000041000000}"/>
    <cellStyle name="00 Rpt Bnr (MY)" xfId="109" xr:uid="{00000000-0005-0000-0000-000042000000}"/>
    <cellStyle name="00 Rpt Hdr (A)" xfId="110" xr:uid="{00000000-0005-0000-0000-000043000000}"/>
    <cellStyle name="00 Rpt Hdr (B)" xfId="111" xr:uid="{00000000-0005-0000-0000-000044000000}"/>
    <cellStyle name="00 Rpt Hdr (C)" xfId="112" xr:uid="{00000000-0005-0000-0000-000045000000}"/>
    <cellStyle name="00 Rpt Hdr (D)" xfId="113" xr:uid="{00000000-0005-0000-0000-000046000000}"/>
    <cellStyle name="00 Rpt Hdr (MDY)" xfId="114" xr:uid="{00000000-0005-0000-0000-000047000000}"/>
    <cellStyle name="00 Rpt Hdr (MY)" xfId="115" xr:uid="{00000000-0005-0000-0000-000048000000}"/>
    <cellStyle name="00 Rpt Ttl ($0)" xfId="116" xr:uid="{00000000-0005-0000-0000-000049000000}"/>
    <cellStyle name="00 Rpt Ttl ($0.00)" xfId="117" xr:uid="{00000000-0005-0000-0000-00004A000000}"/>
    <cellStyle name="00 Rpt Ttl (0)" xfId="118" xr:uid="{00000000-0005-0000-0000-00004B000000}"/>
    <cellStyle name="00 Rpt Ttl (0,)" xfId="119" xr:uid="{00000000-0005-0000-0000-00004C000000}"/>
    <cellStyle name="00 Rpt Ttl (0.0%)" xfId="120" xr:uid="{00000000-0005-0000-0000-00004D000000}"/>
    <cellStyle name="00 Rpt Ttl (0.0)" xfId="121" xr:uid="{00000000-0005-0000-0000-00004E000000}"/>
    <cellStyle name="00 Rpt Ttl (0.00%)" xfId="122" xr:uid="{00000000-0005-0000-0000-00004F000000}"/>
    <cellStyle name="00 Rpt Ttl (0.00)" xfId="123" xr:uid="{00000000-0005-0000-0000-000050000000}"/>
    <cellStyle name="00 Rpt Ttl (0.000)" xfId="124" xr:uid="{00000000-0005-0000-0000-000051000000}"/>
    <cellStyle name="00 Rpt Ttl (A)" xfId="125" xr:uid="{00000000-0005-0000-0000-000052000000}"/>
    <cellStyle name="00 Sheet Minor Title (A)" xfId="126" xr:uid="{00000000-0005-0000-0000-000053000000}"/>
    <cellStyle name="00 Sheet Minor Title (B)" xfId="127" xr:uid="{00000000-0005-0000-0000-000054000000}"/>
    <cellStyle name="00 Sheet SubTitle (A)" xfId="128" xr:uid="{00000000-0005-0000-0000-000055000000}"/>
    <cellStyle name="00 Sheet SubTitle (B)" xfId="129" xr:uid="{00000000-0005-0000-0000-000056000000}"/>
    <cellStyle name="00 Sheet Title (A)" xfId="130" xr:uid="{00000000-0005-0000-0000-000057000000}"/>
    <cellStyle name="00 Sub HDR (A)" xfId="131" xr:uid="{00000000-0005-0000-0000-000058000000}"/>
    <cellStyle name="00 Sub Rcd ($0)" xfId="132" xr:uid="{00000000-0005-0000-0000-000059000000}"/>
    <cellStyle name="00 Sub Rcd ($0.00)" xfId="133" xr:uid="{00000000-0005-0000-0000-00005A000000}"/>
    <cellStyle name="00 Sub Rcd (0)" xfId="134" xr:uid="{00000000-0005-0000-0000-00005B000000}"/>
    <cellStyle name="00 Sub Rcd (0,)" xfId="135" xr:uid="{00000000-0005-0000-0000-00005C000000}"/>
    <cellStyle name="00 Sub Rcd (0.0%)" xfId="136" xr:uid="{00000000-0005-0000-0000-00005D000000}"/>
    <cellStyle name="00 Sub Rcd (0.0)" xfId="137" xr:uid="{00000000-0005-0000-0000-00005E000000}"/>
    <cellStyle name="00 Sub Rcd (0.00%)" xfId="138" xr:uid="{00000000-0005-0000-0000-00005F000000}"/>
    <cellStyle name="00 Sub Rcd (0.00)" xfId="139" xr:uid="{00000000-0005-0000-0000-000060000000}"/>
    <cellStyle name="00 Sub Rcd (0.000)" xfId="140" xr:uid="{00000000-0005-0000-0000-000061000000}"/>
    <cellStyle name="00 Sub Rcd (A)" xfId="141" xr:uid="{00000000-0005-0000-0000-000062000000}"/>
    <cellStyle name="00 Sub Rcd (B)" xfId="142" xr:uid="{00000000-0005-0000-0000-000063000000}"/>
    <cellStyle name="00 Sub Rcd (MDY)" xfId="143" xr:uid="{00000000-0005-0000-0000-000064000000}"/>
    <cellStyle name="00 Sub Rcd (MY)" xfId="144" xr:uid="{00000000-0005-0000-0000-000065000000}"/>
    <cellStyle name="00 Sub Ttl ($0)" xfId="145" xr:uid="{00000000-0005-0000-0000-000066000000}"/>
    <cellStyle name="00 Sub Ttl ($0.00)" xfId="146" xr:uid="{00000000-0005-0000-0000-000067000000}"/>
    <cellStyle name="00 Sub Ttl (0)" xfId="147" xr:uid="{00000000-0005-0000-0000-000068000000}"/>
    <cellStyle name="00 Sub Ttl (0,)" xfId="148" xr:uid="{00000000-0005-0000-0000-000069000000}"/>
    <cellStyle name="00 Sub Ttl (0.0%)" xfId="149" xr:uid="{00000000-0005-0000-0000-00006A000000}"/>
    <cellStyle name="00 Sub Ttl (0.0)" xfId="150" xr:uid="{00000000-0005-0000-0000-00006B000000}"/>
    <cellStyle name="00 Sub Ttl (0.00%)" xfId="151" xr:uid="{00000000-0005-0000-0000-00006C000000}"/>
    <cellStyle name="00 Sub Ttl (0.00)" xfId="152" xr:uid="{00000000-0005-0000-0000-00006D000000}"/>
    <cellStyle name="00 Sub Ttl (0.000)" xfId="153" xr:uid="{00000000-0005-0000-0000-00006E000000}"/>
    <cellStyle name="00 Sub Ttl (A)" xfId="154" xr:uid="{00000000-0005-0000-0000-00006F000000}"/>
    <cellStyle name="00 Top Brand Med (A)" xfId="155" xr:uid="{00000000-0005-0000-0000-000070000000}"/>
    <cellStyle name="20% - Accent1" xfId="20" builtinId="30" hidden="1"/>
    <cellStyle name="20% - Accent2" xfId="24" builtinId="34" hidden="1"/>
    <cellStyle name="20% - Accent3" xfId="28" builtinId="38" hidden="1"/>
    <cellStyle name="20% - Accent4" xfId="32" builtinId="42" hidden="1"/>
    <cellStyle name="20% - Accent5" xfId="36" builtinId="46" hidden="1"/>
    <cellStyle name="20% - Accent6" xfId="40" builtinId="50" hidden="1"/>
    <cellStyle name="40% - Accent1" xfId="21" builtinId="31" hidden="1"/>
    <cellStyle name="40% - Accent2" xfId="25" builtinId="35" hidden="1"/>
    <cellStyle name="40% - Accent3" xfId="29" builtinId="39" hidden="1"/>
    <cellStyle name="40% - Accent4" xfId="33" builtinId="43" hidden="1"/>
    <cellStyle name="40% - Accent5" xfId="37" builtinId="47" hidden="1"/>
    <cellStyle name="40% - Accent6" xfId="41" builtinId="51" hidden="1"/>
    <cellStyle name="60% - Accent1" xfId="22" builtinId="32" hidden="1"/>
    <cellStyle name="60% - Accent2" xfId="26" builtinId="36" hidden="1"/>
    <cellStyle name="60% - Accent3" xfId="30" builtinId="40" hidden="1"/>
    <cellStyle name="60% - Accent4" xfId="34" builtinId="44" hidden="1"/>
    <cellStyle name="60% - Accent5" xfId="38" builtinId="48" hidden="1"/>
    <cellStyle name="60% - Accent6" xfId="42" builtinId="52" hidden="1"/>
    <cellStyle name="Accent1" xfId="19" builtinId="29" hidden="1"/>
    <cellStyle name="Accent2" xfId="23" builtinId="33" hidden="1"/>
    <cellStyle name="Accent3" xfId="27" builtinId="37" hidden="1"/>
    <cellStyle name="Accent4" xfId="31" builtinId="41" hidden="1"/>
    <cellStyle name="Accent5" xfId="35" builtinId="45" hidden="1"/>
    <cellStyle name="Accent6" xfId="39" builtinId="49" hidden="1"/>
    <cellStyle name="AQ1" xfId="156" xr:uid="{00000000-0005-0000-0000-000089000000}"/>
    <cellStyle name="AQ2" xfId="157" xr:uid="{00000000-0005-0000-0000-00008A000000}"/>
    <cellStyle name="AQ3" xfId="158" xr:uid="{00000000-0005-0000-0000-00008B000000}"/>
    <cellStyle name="AQ4" xfId="159" xr:uid="{00000000-0005-0000-0000-00008C000000}"/>
    <cellStyle name="AQ5" xfId="160" xr:uid="{00000000-0005-0000-0000-00008D000000}"/>
    <cellStyle name="Bad" xfId="8" builtinId="27" hidden="1"/>
    <cellStyle name="Button (A)" xfId="161" xr:uid="{00000000-0005-0000-0000-00008F000000}"/>
    <cellStyle name="Button (B)" xfId="162" xr:uid="{00000000-0005-0000-0000-000090000000}"/>
    <cellStyle name="Calculation" xfId="12" builtinId="22" hidden="1"/>
    <cellStyle name="Check Cell" xfId="14" builtinId="23" hidden="1"/>
    <cellStyle name="CM1" xfId="163" xr:uid="{00000000-0005-0000-0000-000093000000}"/>
    <cellStyle name="CM2" xfId="164" xr:uid="{00000000-0005-0000-0000-000094000000}"/>
    <cellStyle name="CM3" xfId="165" xr:uid="{00000000-0005-0000-0000-000095000000}"/>
    <cellStyle name="CM4" xfId="166" xr:uid="{00000000-0005-0000-0000-000096000000}"/>
    <cellStyle name="CM5" xfId="167" xr:uid="{00000000-0005-0000-0000-000097000000}"/>
    <cellStyle name="Comma" xfId="242" builtinId="3"/>
    <cellStyle name="Currency" xfId="241" builtinId="4"/>
    <cellStyle name="Dbl-Click (A)" xfId="168" xr:uid="{00000000-0005-0000-0000-000098000000}"/>
    <cellStyle name="Drop Down ($0)" xfId="169" xr:uid="{00000000-0005-0000-0000-000099000000}"/>
    <cellStyle name="Drop Down ($0.00)" xfId="170" xr:uid="{00000000-0005-0000-0000-00009A000000}"/>
    <cellStyle name="Drop Down (0)" xfId="171" xr:uid="{00000000-0005-0000-0000-00009B000000}"/>
    <cellStyle name="Drop Down (0,)" xfId="172" xr:uid="{00000000-0005-0000-0000-00009C000000}"/>
    <cellStyle name="Drop Down (0.0%)" xfId="173" xr:uid="{00000000-0005-0000-0000-00009D000000}"/>
    <cellStyle name="Drop Down (0.0)" xfId="174" xr:uid="{00000000-0005-0000-0000-00009E000000}"/>
    <cellStyle name="Drop Down (0.00%)" xfId="175" xr:uid="{00000000-0005-0000-0000-00009F000000}"/>
    <cellStyle name="Drop Down (0.00)" xfId="176" xr:uid="{00000000-0005-0000-0000-0000A0000000}"/>
    <cellStyle name="Drop Down (0.000)" xfId="177" xr:uid="{00000000-0005-0000-0000-0000A1000000}"/>
    <cellStyle name="Drop Down (A)" xfId="178" xr:uid="{00000000-0005-0000-0000-0000A2000000}"/>
    <cellStyle name="Drop Down (MDY)" xfId="179" xr:uid="{00000000-0005-0000-0000-0000A3000000}"/>
    <cellStyle name="Drop Down (MY)" xfId="180" xr:uid="{00000000-0005-0000-0000-0000A4000000}"/>
    <cellStyle name="DS1" xfId="181" xr:uid="{00000000-0005-0000-0000-0000A5000000}"/>
    <cellStyle name="DS2" xfId="182" xr:uid="{00000000-0005-0000-0000-0000A6000000}"/>
    <cellStyle name="DS3" xfId="183" xr:uid="{00000000-0005-0000-0000-0000A7000000}"/>
    <cellStyle name="DS4" xfId="184" xr:uid="{00000000-0005-0000-0000-0000A8000000}"/>
    <cellStyle name="DS5" xfId="185" xr:uid="{00000000-0005-0000-0000-0000A9000000}"/>
    <cellStyle name="Explanatory Text" xfId="17" builtinId="53" hidden="1"/>
    <cellStyle name="Explanatory Text (A)" xfId="186" xr:uid="{00000000-0005-0000-0000-0000AB000000}"/>
    <cellStyle name="Explanatory Text (B)" xfId="187" xr:uid="{00000000-0005-0000-0000-0000AC000000}"/>
    <cellStyle name="File_Icon (A)" xfId="188" xr:uid="{00000000-0005-0000-0000-0000AD000000}"/>
    <cellStyle name="Good" xfId="7" builtinId="26" hidden="1"/>
    <cellStyle name="GT1" xfId="189" xr:uid="{00000000-0005-0000-0000-0000AF000000}"/>
    <cellStyle name="GT2" xfId="190" xr:uid="{00000000-0005-0000-0000-0000B0000000}"/>
    <cellStyle name="GT3" xfId="191" xr:uid="{00000000-0005-0000-0000-0000B1000000}"/>
    <cellStyle name="GT4" xfId="192" xr:uid="{00000000-0005-0000-0000-0000B2000000}"/>
    <cellStyle name="GT5" xfId="193" xr:uid="{00000000-0005-0000-0000-0000B3000000}"/>
    <cellStyle name="Heading 1" xfId="3" builtinId="16" hidden="1"/>
    <cellStyle name="Heading 2" xfId="4" builtinId="17" hidden="1"/>
    <cellStyle name="Heading 3" xfId="5" builtinId="18" hidden="1"/>
    <cellStyle name="Heading 4" xfId="6" builtinId="19" hidden="1"/>
    <cellStyle name="Input" xfId="10" builtinId="20" hidden="1"/>
    <cellStyle name="Input ($0)" xfId="194" xr:uid="{00000000-0005-0000-0000-0000B9000000}"/>
    <cellStyle name="Input ($0.00)" xfId="195" xr:uid="{00000000-0005-0000-0000-0000BA000000}"/>
    <cellStyle name="Input (0)" xfId="196" xr:uid="{00000000-0005-0000-0000-0000BB000000}"/>
    <cellStyle name="Input (0,)" xfId="197" xr:uid="{00000000-0005-0000-0000-0000BC000000}"/>
    <cellStyle name="Input (0.0%)" xfId="198" xr:uid="{00000000-0005-0000-0000-0000BD000000}"/>
    <cellStyle name="Input (0.0)" xfId="199" xr:uid="{00000000-0005-0000-0000-0000BE000000}"/>
    <cellStyle name="Input (0.00%)" xfId="200" xr:uid="{00000000-0005-0000-0000-0000BF000000}"/>
    <cellStyle name="Input (0.00)" xfId="201" xr:uid="{00000000-0005-0000-0000-0000C0000000}"/>
    <cellStyle name="Input (0.000)" xfId="202" xr:uid="{00000000-0005-0000-0000-0000C1000000}"/>
    <cellStyle name="Input (A)" xfId="203" xr:uid="{00000000-0005-0000-0000-0000C2000000}"/>
    <cellStyle name="Input (MDY)" xfId="204" xr:uid="{00000000-0005-0000-0000-0000C3000000}"/>
    <cellStyle name="Input (MY)" xfId="205" xr:uid="{00000000-0005-0000-0000-0000C4000000}"/>
    <cellStyle name="Linked Cell" xfId="13" builtinId="24" hidden="1"/>
    <cellStyle name="List Item (A)" xfId="206" xr:uid="{00000000-0005-0000-0000-0000C6000000}"/>
    <cellStyle name="List Item (B)" xfId="207" xr:uid="{00000000-0005-0000-0000-0000C7000000}"/>
    <cellStyle name="List Item (C)" xfId="208" xr:uid="{00000000-0005-0000-0000-0000C8000000}"/>
    <cellStyle name="List Item (D)" xfId="209" xr:uid="{00000000-0005-0000-0000-0000C9000000}"/>
    <cellStyle name="Neutral" xfId="9" builtinId="28" hidden="1"/>
    <cellStyle name="Normal" xfId="0" builtinId="0" customBuiltin="1"/>
    <cellStyle name="Normal 2" xfId="240" xr:uid="{00000000-0005-0000-0000-0000CC000000}"/>
    <cellStyle name="Note" xfId="16" builtinId="10" hidden="1"/>
    <cellStyle name="Output" xfId="11" builtinId="21" hidden="1"/>
    <cellStyle name="Percent" xfId="1" builtinId="5"/>
    <cellStyle name="Place Cursor Here (A)" xfId="210" xr:uid="{00000000-0005-0000-0000-0000D0000000}"/>
    <cellStyle name="Place Cursor Here (B)" xfId="211" xr:uid="{00000000-0005-0000-0000-0000D1000000}"/>
    <cellStyle name="Red Flag (A)" xfId="212" xr:uid="{00000000-0005-0000-0000-0000D2000000}"/>
    <cellStyle name="Red Flag (B)" xfId="213" xr:uid="{00000000-0005-0000-0000-0000D3000000}"/>
    <cellStyle name="SD1" xfId="214" xr:uid="{00000000-0005-0000-0000-0000D4000000}"/>
    <cellStyle name="SD2" xfId="215" xr:uid="{00000000-0005-0000-0000-0000D5000000}"/>
    <cellStyle name="SD3" xfId="216" xr:uid="{00000000-0005-0000-0000-0000D6000000}"/>
    <cellStyle name="SD4" xfId="217" xr:uid="{00000000-0005-0000-0000-0000D7000000}"/>
    <cellStyle name="SD5" xfId="218" xr:uid="{00000000-0005-0000-0000-0000D8000000}"/>
    <cellStyle name="Title" xfId="2" builtinId="15" hidden="1"/>
    <cellStyle name="Total" xfId="18" builtinId="25" hidden="1"/>
    <cellStyle name="VW1" xfId="219" xr:uid="{00000000-0005-0000-0000-0000DB000000}"/>
    <cellStyle name="VW2" xfId="220" xr:uid="{00000000-0005-0000-0000-0000DC000000}"/>
    <cellStyle name="VW3" xfId="221" xr:uid="{00000000-0005-0000-0000-0000DD000000}"/>
    <cellStyle name="VW4" xfId="222" xr:uid="{00000000-0005-0000-0000-0000DE000000}"/>
    <cellStyle name="VW5" xfId="223" xr:uid="{00000000-0005-0000-0000-0000DF000000}"/>
    <cellStyle name="Warning Text" xfId="15" builtinId="11" hidden="1"/>
    <cellStyle name="WC1" xfId="224" xr:uid="{00000000-0005-0000-0000-0000E1000000}"/>
    <cellStyle name="WC1 ($0)" xfId="225" xr:uid="{00000000-0005-0000-0000-0000E2000000}"/>
    <cellStyle name="WC1 ($0.00)" xfId="226" xr:uid="{00000000-0005-0000-0000-0000E3000000}"/>
    <cellStyle name="WC1 (0)" xfId="227" xr:uid="{00000000-0005-0000-0000-0000E4000000}"/>
    <cellStyle name="WC1 (0,)" xfId="228" xr:uid="{00000000-0005-0000-0000-0000E5000000}"/>
    <cellStyle name="WC1 (0.0%)" xfId="229" xr:uid="{00000000-0005-0000-0000-0000E6000000}"/>
    <cellStyle name="WC1 (0.0)" xfId="230" xr:uid="{00000000-0005-0000-0000-0000E7000000}"/>
    <cellStyle name="WC1 (0.00%)" xfId="231" xr:uid="{00000000-0005-0000-0000-0000E8000000}"/>
    <cellStyle name="WC1 (0.00)" xfId="232" xr:uid="{00000000-0005-0000-0000-0000E9000000}"/>
    <cellStyle name="WC1 (0.000)" xfId="233" xr:uid="{00000000-0005-0000-0000-0000EA000000}"/>
    <cellStyle name="WC1 (MDY)" xfId="234" xr:uid="{00000000-0005-0000-0000-0000EB000000}"/>
    <cellStyle name="WC1 (MY)" xfId="235" xr:uid="{00000000-0005-0000-0000-0000EC000000}"/>
    <cellStyle name="WC2" xfId="236" xr:uid="{00000000-0005-0000-0000-0000ED000000}"/>
    <cellStyle name="WC3" xfId="237" xr:uid="{00000000-0005-0000-0000-0000EE000000}"/>
    <cellStyle name="WC4" xfId="238" xr:uid="{00000000-0005-0000-0000-0000EF000000}"/>
    <cellStyle name="WC5" xfId="239" xr:uid="{00000000-0005-0000-0000-0000F0000000}"/>
  </cellStyles>
  <dxfs count="1341"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lor theme="0" tint="-0.34998626667073579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  <dxf>
      <font>
        <condense val="0"/>
        <extend val="0"/>
        <color indexed="55"/>
      </font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14</xdr:col>
      <xdr:colOff>304800</xdr:colOff>
      <xdr:row>20</xdr:row>
      <xdr:rowOff>13758</xdr:rowOff>
    </xdr:to>
    <xdr:sp macro="" textlink="">
      <xdr:nvSpPr>
        <xdr:cNvPr id="4" name="AutoShape 2" descr="Show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287000" y="2371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14</xdr:col>
      <xdr:colOff>304800</xdr:colOff>
      <xdr:row>21</xdr:row>
      <xdr:rowOff>30692</xdr:rowOff>
    </xdr:to>
    <xdr:sp macro="" textlink="">
      <xdr:nvSpPr>
        <xdr:cNvPr id="5" name="AutoShape 3" descr="Show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87000" y="2552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HA-EPM">
  <a:themeElements>
    <a:clrScheme name="KHEPM">
      <a:dk1>
        <a:sysClr val="windowText" lastClr="000000"/>
      </a:dk1>
      <a:lt1>
        <a:sysClr val="window" lastClr="FFFFFF"/>
      </a:lt1>
      <a:dk2>
        <a:srgbClr val="586168"/>
      </a:dk2>
      <a:lt2>
        <a:srgbClr val="EBEBEB"/>
      </a:lt2>
      <a:accent1>
        <a:srgbClr val="B01513"/>
      </a:accent1>
      <a:accent2>
        <a:srgbClr val="F7D4B7"/>
      </a:accent2>
      <a:accent3>
        <a:srgbClr val="F8F5B6"/>
      </a:accent3>
      <a:accent4>
        <a:srgbClr val="6AAC90"/>
      </a:accent4>
      <a:accent5>
        <a:srgbClr val="BBD4EB"/>
      </a:accent5>
      <a:accent6>
        <a:srgbClr val="9E5E9B"/>
      </a:accent6>
      <a:hlink>
        <a:srgbClr val="5F9C9D"/>
      </a:hlink>
      <a:folHlink>
        <a:srgbClr val="9E5E9B"/>
      </a:folHlink>
    </a:clrScheme>
    <a:fontScheme name="san_diego">
      <a:majorFont>
        <a:latin typeface="Century Gothic"/>
        <a:ea typeface=""/>
        <a:cs typeface=""/>
      </a:majorFont>
      <a:minorFont>
        <a:latin typeface="Segoe UI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4D4C-3E04-4D5C-A25C-0DCDBCBA7CC7}">
  <sheetPr>
    <outlinePr summaryBelow="0"/>
  </sheetPr>
  <dimension ref="A1:O209"/>
  <sheetViews>
    <sheetView showGridLines="0" showRowColHeaders="0" topLeftCell="B1" workbookViewId="0">
      <pane xSplit="2" ySplit="17" topLeftCell="D18" activePane="bottomRight" state="frozen"/>
      <selection activeCell="D18" sqref="D18"/>
      <selection pane="topRight" activeCell="D18" sqref="D18"/>
      <selection pane="bottomLeft" activeCell="D18" sqref="D18"/>
      <selection pane="bottomRight" activeCell="D28" sqref="D28"/>
    </sheetView>
  </sheetViews>
  <sheetFormatPr defaultColWidth="8.19921875" defaultRowHeight="16.8" outlineLevelRow="2"/>
  <cols>
    <col min="1" max="1" width="31.09765625" style="202" customWidth="1"/>
    <col min="2" max="2" width="11.5" style="203" hidden="1" customWidth="1"/>
    <col min="3" max="3" width="40.19921875" style="203" customWidth="1"/>
    <col min="4" max="4" width="22.59765625" style="203" customWidth="1"/>
    <col min="5" max="5" width="0.8984375" style="252" customWidth="1"/>
    <col min="6" max="6" width="23.09765625" style="203" bestFit="1" customWidth="1"/>
    <col min="7" max="7" width="0.8984375" style="252" customWidth="1"/>
    <col min="8" max="8" width="23.09765625" style="203" customWidth="1"/>
    <col min="9" max="9" width="0.8984375" style="203" customWidth="1"/>
    <col min="10" max="10" width="19.8984375" style="203" bestFit="1" customWidth="1"/>
    <col min="11" max="11" width="0.8984375" style="203" customWidth="1"/>
    <col min="12" max="12" width="19.8984375" style="203" bestFit="1" customWidth="1"/>
    <col min="13" max="13" width="0.8984375" style="203" customWidth="1"/>
    <col min="14" max="14" width="19.8984375" style="203" bestFit="1" customWidth="1"/>
    <col min="15" max="15" width="8.19921875" style="203" customWidth="1"/>
    <col min="16" max="16384" width="8.19921875" style="203"/>
  </cols>
  <sheetData>
    <row r="1" spans="1:14" s="197" customFormat="1">
      <c r="A1" s="196"/>
      <c r="C1" s="198"/>
      <c r="D1" s="199" t="s">
        <v>6</v>
      </c>
      <c r="E1" s="264" t="s">
        <v>7</v>
      </c>
      <c r="F1" s="250" t="s">
        <v>398</v>
      </c>
      <c r="G1" s="264" t="s">
        <v>7</v>
      </c>
      <c r="H1" s="250" t="s">
        <v>381</v>
      </c>
      <c r="I1" s="199" t="s">
        <v>7</v>
      </c>
      <c r="J1" s="200" t="s">
        <v>318</v>
      </c>
      <c r="L1" s="200" t="s">
        <v>374</v>
      </c>
      <c r="M1" s="201"/>
      <c r="N1" s="200" t="s">
        <v>317</v>
      </c>
    </row>
    <row r="2" spans="1:14" ht="15" hidden="1" customHeight="1">
      <c r="C2" s="204" t="s">
        <v>8</v>
      </c>
      <c r="E2" s="264"/>
      <c r="F2" s="251" t="s">
        <v>9</v>
      </c>
      <c r="G2" s="264"/>
      <c r="H2" s="251" t="s">
        <v>9</v>
      </c>
      <c r="I2" s="199"/>
      <c r="J2" s="203" t="s">
        <v>9</v>
      </c>
      <c r="L2" s="203" t="s">
        <v>9</v>
      </c>
      <c r="N2" s="203" t="s">
        <v>9</v>
      </c>
    </row>
    <row r="3" spans="1:14" ht="15" hidden="1" customHeight="1">
      <c r="A3" s="202" t="s">
        <v>10</v>
      </c>
      <c r="C3" s="203" t="s">
        <v>11</v>
      </c>
      <c r="E3" s="264"/>
      <c r="F3" s="251"/>
      <c r="G3" s="264"/>
      <c r="H3" s="251"/>
      <c r="I3" s="199"/>
    </row>
    <row r="4" spans="1:14" ht="15" hidden="1" customHeight="1">
      <c r="A4" s="202" t="s">
        <v>12</v>
      </c>
      <c r="C4" s="203" t="s">
        <v>13</v>
      </c>
      <c r="E4" s="264"/>
      <c r="F4" s="252"/>
      <c r="G4" s="264"/>
      <c r="H4" s="252"/>
      <c r="I4" s="199"/>
    </row>
    <row r="5" spans="1:14" ht="15" hidden="1" customHeight="1">
      <c r="A5" s="202" t="s">
        <v>426</v>
      </c>
      <c r="C5" s="203" t="s">
        <v>14</v>
      </c>
      <c r="D5" s="203">
        <v>141</v>
      </c>
      <c r="E5" s="264"/>
      <c r="F5" s="252"/>
      <c r="G5" s="264"/>
      <c r="H5" s="252"/>
      <c r="I5" s="199"/>
    </row>
    <row r="6" spans="1:14">
      <c r="F6" s="253" t="s">
        <v>15</v>
      </c>
      <c r="H6" s="253" t="s">
        <v>15</v>
      </c>
      <c r="J6" s="205" t="s">
        <v>15</v>
      </c>
      <c r="K6" s="206"/>
      <c r="L6" s="205" t="s">
        <v>15</v>
      </c>
      <c r="M6" s="206"/>
      <c r="N6" s="205" t="s">
        <v>15</v>
      </c>
    </row>
    <row r="7" spans="1:14" collapsed="1">
      <c r="C7" s="204" t="s">
        <v>16</v>
      </c>
      <c r="D7" s="207"/>
      <c r="E7" s="254"/>
      <c r="F7" s="254"/>
      <c r="G7" s="254"/>
      <c r="H7" s="254"/>
      <c r="I7" s="208"/>
      <c r="J7" s="208"/>
      <c r="K7" s="206"/>
      <c r="L7" s="208"/>
      <c r="M7" s="206"/>
      <c r="N7" s="208"/>
    </row>
    <row r="8" spans="1:14" hidden="1" outlineLevel="1">
      <c r="A8" s="202" t="s">
        <v>17</v>
      </c>
      <c r="C8" s="203" t="s">
        <v>18</v>
      </c>
      <c r="D8" s="209"/>
      <c r="E8" s="254"/>
      <c r="F8" s="255" t="s">
        <v>19</v>
      </c>
      <c r="G8" s="254"/>
      <c r="H8" s="255" t="s">
        <v>19</v>
      </c>
      <c r="I8" s="208"/>
      <c r="J8" s="210" t="s">
        <v>19</v>
      </c>
      <c r="L8" s="210" t="s">
        <v>19</v>
      </c>
      <c r="N8" s="210" t="s">
        <v>71</v>
      </c>
    </row>
    <row r="9" spans="1:14" hidden="1" outlineLevel="1">
      <c r="A9" s="202" t="s">
        <v>20</v>
      </c>
      <c r="C9" s="211" t="s">
        <v>21</v>
      </c>
      <c r="D9" s="212"/>
      <c r="E9" s="254"/>
      <c r="F9" s="255" t="s">
        <v>19</v>
      </c>
      <c r="G9" s="254"/>
      <c r="H9" s="255" t="s">
        <v>19</v>
      </c>
      <c r="I9" s="208"/>
      <c r="J9" s="210" t="s">
        <v>19</v>
      </c>
      <c r="L9" s="210" t="s">
        <v>19</v>
      </c>
      <c r="N9" s="210" t="s">
        <v>71</v>
      </c>
    </row>
    <row r="10" spans="1:14" hidden="1" outlineLevel="1">
      <c r="A10" s="202" t="s">
        <v>22</v>
      </c>
      <c r="C10" s="211" t="s">
        <v>23</v>
      </c>
      <c r="D10" s="212"/>
      <c r="E10" s="254"/>
      <c r="F10" s="255" t="s">
        <v>19</v>
      </c>
      <c r="G10" s="254"/>
      <c r="H10" s="255" t="s">
        <v>19</v>
      </c>
      <c r="I10" s="208"/>
      <c r="J10" s="210" t="s">
        <v>19</v>
      </c>
      <c r="L10" s="210" t="s">
        <v>19</v>
      </c>
      <c r="N10" s="210" t="s">
        <v>19</v>
      </c>
    </row>
    <row r="11" spans="1:14" hidden="1" outlineLevel="1">
      <c r="A11" s="202" t="s">
        <v>24</v>
      </c>
      <c r="C11" s="211" t="s">
        <v>25</v>
      </c>
      <c r="D11" s="212"/>
      <c r="E11" s="254"/>
      <c r="F11" s="255"/>
      <c r="G11" s="254"/>
      <c r="H11" s="255"/>
      <c r="I11" s="208"/>
      <c r="J11" s="210"/>
      <c r="L11" s="210"/>
      <c r="N11" s="269" t="str">
        <f>N1</f>
        <v>MonthlyFcstAdj</v>
      </c>
    </row>
    <row r="12" spans="1:14" hidden="1" outlineLevel="1">
      <c r="A12" s="202" t="s">
        <v>26</v>
      </c>
      <c r="C12" s="211" t="s">
        <v>27</v>
      </c>
      <c r="D12" s="212"/>
      <c r="E12" s="254"/>
      <c r="F12" s="255"/>
      <c r="G12" s="254"/>
      <c r="H12" s="255"/>
      <c r="I12" s="208"/>
      <c r="J12" s="210"/>
      <c r="L12" s="210"/>
      <c r="N12" s="210" t="s">
        <v>379</v>
      </c>
    </row>
    <row r="13" spans="1:14" hidden="1" outlineLevel="1">
      <c r="A13" s="202" t="s">
        <v>28</v>
      </c>
      <c r="C13" s="203" t="s">
        <v>29</v>
      </c>
      <c r="D13" s="209"/>
      <c r="E13" s="254"/>
      <c r="F13" s="255" t="s">
        <v>19</v>
      </c>
      <c r="G13" s="254"/>
      <c r="H13" s="255" t="s">
        <v>19</v>
      </c>
      <c r="I13" s="208"/>
      <c r="J13" s="210" t="s">
        <v>19</v>
      </c>
      <c r="L13" s="210" t="s">
        <v>19</v>
      </c>
      <c r="N13" s="210" t="s">
        <v>19</v>
      </c>
    </row>
    <row r="14" spans="1:14" hidden="1" outlineLevel="1">
      <c r="A14" s="202" t="s">
        <v>30</v>
      </c>
      <c r="C14" s="211" t="s">
        <v>31</v>
      </c>
      <c r="D14" s="212"/>
      <c r="E14" s="254"/>
      <c r="F14" s="255"/>
      <c r="G14" s="254"/>
      <c r="H14" s="255"/>
      <c r="I14" s="208"/>
      <c r="J14" s="210"/>
      <c r="L14" s="210"/>
      <c r="N14" s="210"/>
    </row>
    <row r="15" spans="1:14" hidden="1" outlineLevel="1">
      <c r="A15" s="202" t="s">
        <v>32</v>
      </c>
      <c r="C15" s="211" t="s">
        <v>33</v>
      </c>
      <c r="D15" s="212"/>
      <c r="E15" s="254"/>
      <c r="F15" s="255"/>
      <c r="G15" s="254"/>
      <c r="H15" s="255"/>
      <c r="I15" s="208"/>
      <c r="J15" s="210"/>
      <c r="L15" s="210"/>
      <c r="N15" s="210"/>
    </row>
    <row r="16" spans="1:14" hidden="1" outlineLevel="1">
      <c r="A16" s="202" t="s">
        <v>34</v>
      </c>
      <c r="C16" s="203" t="s">
        <v>35</v>
      </c>
      <c r="D16" s="212"/>
      <c r="E16" s="254"/>
      <c r="F16" s="255" t="s">
        <v>19</v>
      </c>
      <c r="G16" s="254"/>
      <c r="H16" s="255" t="s">
        <v>19</v>
      </c>
      <c r="I16" s="208"/>
      <c r="J16" s="210" t="s">
        <v>19</v>
      </c>
      <c r="L16" s="210" t="s">
        <v>19</v>
      </c>
      <c r="N16" s="210" t="s">
        <v>19</v>
      </c>
    </row>
    <row r="17" spans="1:9">
      <c r="A17" s="202" t="s">
        <v>36</v>
      </c>
      <c r="C17" s="204" t="s">
        <v>37</v>
      </c>
      <c r="D17" s="207"/>
      <c r="E17" s="254"/>
      <c r="F17" s="252"/>
      <c r="G17" s="254"/>
      <c r="H17" s="252"/>
      <c r="I17" s="208"/>
    </row>
    <row r="18" spans="1:9" outlineLevel="1">
      <c r="A18" s="202" t="s">
        <v>38</v>
      </c>
      <c r="C18" s="203" t="s">
        <v>39</v>
      </c>
      <c r="D18" s="200" t="s">
        <v>71</v>
      </c>
      <c r="E18" s="254"/>
      <c r="F18" s="252"/>
      <c r="G18" s="254"/>
      <c r="H18" s="252"/>
      <c r="I18" s="208"/>
    </row>
    <row r="19" spans="1:9" outlineLevel="1">
      <c r="A19" s="202" t="s">
        <v>40</v>
      </c>
      <c r="C19" s="203" t="s">
        <v>41</v>
      </c>
      <c r="D19" s="200" t="s">
        <v>71</v>
      </c>
      <c r="E19" s="254"/>
      <c r="F19" s="252"/>
      <c r="G19" s="254"/>
      <c r="H19" s="252"/>
      <c r="I19" s="208"/>
    </row>
    <row r="20" spans="1:9" outlineLevel="1">
      <c r="A20" s="202" t="s">
        <v>42</v>
      </c>
      <c r="C20" s="203" t="s">
        <v>43</v>
      </c>
      <c r="D20" s="200" t="s">
        <v>19</v>
      </c>
      <c r="E20" s="254"/>
      <c r="F20" s="252"/>
      <c r="G20" s="254"/>
      <c r="H20" s="252"/>
      <c r="I20" s="208"/>
    </row>
    <row r="21" spans="1:9" outlineLevel="1">
      <c r="A21" s="202" t="s">
        <v>385</v>
      </c>
      <c r="C21" s="203" t="s">
        <v>386</v>
      </c>
      <c r="D21" s="200" t="s">
        <v>71</v>
      </c>
      <c r="E21" s="254"/>
      <c r="F21" s="252"/>
      <c r="G21" s="254"/>
      <c r="H21" s="252"/>
      <c r="I21" s="208"/>
    </row>
    <row r="22" spans="1:9" outlineLevel="1">
      <c r="A22" s="202" t="s">
        <v>44</v>
      </c>
      <c r="C22" s="203" t="s">
        <v>45</v>
      </c>
      <c r="D22" s="200" t="s">
        <v>19</v>
      </c>
      <c r="E22" s="254"/>
      <c r="F22" s="252"/>
      <c r="G22" s="254"/>
      <c r="H22" s="252"/>
      <c r="I22" s="208"/>
    </row>
    <row r="23" spans="1:9" outlineLevel="1">
      <c r="A23" s="202" t="s">
        <v>46</v>
      </c>
      <c r="C23" s="203" t="s">
        <v>47</v>
      </c>
      <c r="D23" s="200" t="s">
        <v>19</v>
      </c>
      <c r="E23" s="254"/>
      <c r="F23" s="252"/>
      <c r="G23" s="254"/>
      <c r="H23" s="252"/>
      <c r="I23" s="208"/>
    </row>
    <row r="24" spans="1:9" outlineLevel="1">
      <c r="A24" s="202" t="s">
        <v>535</v>
      </c>
      <c r="C24" s="203" t="s">
        <v>536</v>
      </c>
      <c r="D24" s="200" t="s">
        <v>19</v>
      </c>
      <c r="E24" s="254"/>
      <c r="F24" s="252"/>
      <c r="G24" s="254"/>
      <c r="H24" s="252"/>
      <c r="I24" s="208"/>
    </row>
    <row r="25" spans="1:9" outlineLevel="1">
      <c r="A25" s="202" t="s">
        <v>537</v>
      </c>
      <c r="C25" s="203" t="s">
        <v>538</v>
      </c>
      <c r="D25" s="200" t="s">
        <v>71</v>
      </c>
      <c r="E25" s="254"/>
      <c r="F25" s="252"/>
      <c r="G25" s="254"/>
      <c r="H25" s="252"/>
      <c r="I25" s="208"/>
    </row>
    <row r="26" spans="1:9" outlineLevel="1">
      <c r="A26" s="202" t="s">
        <v>48</v>
      </c>
      <c r="C26" s="203" t="s">
        <v>49</v>
      </c>
      <c r="D26" s="200"/>
      <c r="E26" s="254"/>
      <c r="F26" s="252"/>
      <c r="G26" s="254"/>
      <c r="H26" s="252"/>
      <c r="I26" s="208"/>
    </row>
    <row r="27" spans="1:9" outlineLevel="1">
      <c r="A27" s="202" t="s">
        <v>401</v>
      </c>
      <c r="C27" s="203" t="s">
        <v>402</v>
      </c>
      <c r="D27" s="200" t="s">
        <v>317</v>
      </c>
      <c r="E27" s="254"/>
      <c r="F27" s="252"/>
      <c r="G27" s="254"/>
      <c r="H27" s="252"/>
      <c r="I27" s="208"/>
    </row>
    <row r="28" spans="1:9" outlineLevel="1">
      <c r="A28" s="202" t="s">
        <v>403</v>
      </c>
      <c r="C28" s="203" t="s">
        <v>404</v>
      </c>
      <c r="D28" s="200" t="s">
        <v>71</v>
      </c>
      <c r="E28" s="254"/>
      <c r="F28" s="252"/>
      <c r="G28" s="254"/>
      <c r="H28" s="252"/>
      <c r="I28" s="208"/>
    </row>
    <row r="29" spans="1:9" outlineLevel="1">
      <c r="A29" s="202" t="s">
        <v>405</v>
      </c>
      <c r="C29" s="203" t="s">
        <v>406</v>
      </c>
      <c r="D29" s="200"/>
      <c r="E29" s="254"/>
      <c r="F29" s="252"/>
      <c r="G29" s="254"/>
      <c r="H29" s="252"/>
      <c r="I29" s="208"/>
    </row>
    <row r="30" spans="1:9" outlineLevel="1">
      <c r="A30" s="202" t="s">
        <v>427</v>
      </c>
      <c r="C30" s="203" t="s">
        <v>428</v>
      </c>
      <c r="D30" s="200" t="s">
        <v>19</v>
      </c>
      <c r="E30" s="254"/>
      <c r="F30" s="252"/>
      <c r="G30" s="254"/>
      <c r="H30" s="252"/>
      <c r="I30" s="208"/>
    </row>
    <row r="31" spans="1:9" outlineLevel="1">
      <c r="A31" s="202" t="s">
        <v>429</v>
      </c>
      <c r="C31" s="203" t="s">
        <v>430</v>
      </c>
      <c r="D31" s="200"/>
      <c r="E31" s="254"/>
      <c r="F31" s="252"/>
      <c r="G31" s="254"/>
      <c r="H31" s="252"/>
      <c r="I31" s="208"/>
    </row>
    <row r="32" spans="1:9" outlineLevel="1">
      <c r="A32" s="202" t="s">
        <v>431</v>
      </c>
      <c r="C32" s="203" t="s">
        <v>432</v>
      </c>
      <c r="D32" s="200"/>
      <c r="E32" s="254"/>
      <c r="F32" s="252"/>
      <c r="G32" s="254"/>
      <c r="H32" s="252"/>
      <c r="I32" s="208"/>
    </row>
    <row r="33" spans="1:14" outlineLevel="1">
      <c r="A33" s="202" t="s">
        <v>433</v>
      </c>
      <c r="C33" s="203" t="s">
        <v>434</v>
      </c>
      <c r="D33" s="200"/>
      <c r="E33" s="254"/>
      <c r="F33" s="252"/>
      <c r="G33" s="254"/>
      <c r="H33" s="252"/>
      <c r="I33" s="208"/>
    </row>
    <row r="34" spans="1:14" outlineLevel="1">
      <c r="A34" s="202" t="s">
        <v>453</v>
      </c>
      <c r="C34" s="203" t="s">
        <v>454</v>
      </c>
      <c r="D34" s="200" t="s">
        <v>71</v>
      </c>
      <c r="E34" s="254"/>
      <c r="F34" s="252"/>
      <c r="G34" s="254"/>
      <c r="H34" s="252"/>
      <c r="I34" s="208"/>
    </row>
    <row r="35" spans="1:14" outlineLevel="1">
      <c r="A35" s="202" t="s">
        <v>461</v>
      </c>
      <c r="C35" s="203" t="s">
        <v>462</v>
      </c>
      <c r="D35" s="200"/>
      <c r="E35" s="254"/>
      <c r="F35" s="252"/>
      <c r="G35" s="254"/>
      <c r="H35" s="252"/>
      <c r="I35" s="208"/>
    </row>
    <row r="36" spans="1:14" outlineLevel="1">
      <c r="A36" s="202" t="s">
        <v>463</v>
      </c>
      <c r="C36" s="203" t="s">
        <v>464</v>
      </c>
      <c r="D36" s="200"/>
      <c r="E36" s="254"/>
      <c r="F36" s="252"/>
      <c r="G36" s="254"/>
      <c r="H36" s="252"/>
      <c r="I36" s="208"/>
    </row>
    <row r="37" spans="1:14" outlineLevel="1">
      <c r="A37" s="202" t="s">
        <v>465</v>
      </c>
      <c r="C37" s="203" t="s">
        <v>466</v>
      </c>
      <c r="D37" s="200"/>
      <c r="E37" s="254"/>
      <c r="F37" s="252"/>
      <c r="G37" s="254"/>
      <c r="H37" s="252"/>
      <c r="I37" s="208"/>
    </row>
    <row r="38" spans="1:14">
      <c r="A38" s="202" t="s">
        <v>36</v>
      </c>
      <c r="C38" s="204" t="s">
        <v>50</v>
      </c>
      <c r="D38" s="207"/>
      <c r="E38" s="254"/>
      <c r="F38" s="252"/>
      <c r="G38" s="254"/>
      <c r="H38" s="252"/>
      <c r="I38" s="208"/>
    </row>
    <row r="39" spans="1:14" outlineLevel="1">
      <c r="A39" s="202" t="s">
        <v>51</v>
      </c>
      <c r="C39" s="203" t="s">
        <v>52</v>
      </c>
      <c r="D39" s="209"/>
      <c r="E39" s="254"/>
      <c r="F39" s="250" t="s">
        <v>400</v>
      </c>
      <c r="G39" s="254"/>
      <c r="H39" s="250" t="s">
        <v>400</v>
      </c>
      <c r="I39" s="208"/>
      <c r="J39" s="200" t="s">
        <v>53</v>
      </c>
      <c r="L39" s="200" t="s">
        <v>53</v>
      </c>
      <c r="N39" s="200" t="s">
        <v>53</v>
      </c>
    </row>
    <row r="40" spans="1:14" outlineLevel="1">
      <c r="A40" s="202" t="s">
        <v>54</v>
      </c>
      <c r="C40" s="203" t="s">
        <v>55</v>
      </c>
      <c r="D40" s="209"/>
      <c r="E40" s="254"/>
      <c r="F40" s="250" t="s">
        <v>19</v>
      </c>
      <c r="G40" s="254"/>
      <c r="H40" s="250" t="s">
        <v>19</v>
      </c>
      <c r="I40" s="208"/>
      <c r="J40" s="200" t="s">
        <v>19</v>
      </c>
      <c r="L40" s="200" t="s">
        <v>71</v>
      </c>
      <c r="N40" s="200" t="s">
        <v>71</v>
      </c>
    </row>
    <row r="41" spans="1:14" outlineLevel="1">
      <c r="A41" s="202" t="s">
        <v>56</v>
      </c>
      <c r="C41" s="203" t="s">
        <v>57</v>
      </c>
      <c r="D41" s="209"/>
      <c r="E41" s="254"/>
      <c r="F41" s="261" t="str">
        <f>F40</f>
        <v>Off</v>
      </c>
      <c r="G41" s="254"/>
      <c r="H41" s="261" t="str">
        <f>H40</f>
        <v>Off</v>
      </c>
      <c r="I41" s="208"/>
      <c r="J41" s="270" t="str">
        <f>J40</f>
        <v>Off</v>
      </c>
      <c r="L41" s="270" t="str">
        <f>L40</f>
        <v>On</v>
      </c>
      <c r="N41" s="270" t="str">
        <f>N40</f>
        <v>On</v>
      </c>
    </row>
    <row r="42" spans="1:14" outlineLevel="1">
      <c r="A42" s="202" t="s">
        <v>58</v>
      </c>
      <c r="C42" s="203" t="s">
        <v>59</v>
      </c>
      <c r="D42" s="209"/>
      <c r="E42" s="254"/>
      <c r="F42" s="256" t="s">
        <v>399</v>
      </c>
      <c r="G42" s="254"/>
      <c r="H42" s="256" t="s">
        <v>36</v>
      </c>
      <c r="I42" s="208"/>
      <c r="J42" s="213" t="s">
        <v>451</v>
      </c>
      <c r="K42" s="214"/>
      <c r="L42" s="213" t="s">
        <v>375</v>
      </c>
      <c r="M42" s="214"/>
      <c r="N42" s="213" t="s">
        <v>542</v>
      </c>
    </row>
    <row r="43" spans="1:14" outlineLevel="1">
      <c r="A43" s="202" t="s">
        <v>60</v>
      </c>
      <c r="C43" s="203" t="s">
        <v>61</v>
      </c>
      <c r="D43" s="209"/>
      <c r="E43" s="254"/>
      <c r="F43" s="256" t="s">
        <v>36</v>
      </c>
      <c r="G43" s="254"/>
      <c r="H43" s="256" t="s">
        <v>36</v>
      </c>
      <c r="I43" s="208"/>
      <c r="J43" s="213" t="s">
        <v>532</v>
      </c>
      <c r="K43" s="214"/>
      <c r="L43" s="213" t="s">
        <v>533</v>
      </c>
      <c r="M43" s="214"/>
      <c r="N43" s="213" t="s">
        <v>534</v>
      </c>
    </row>
    <row r="44" spans="1:14" outlineLevel="1">
      <c r="A44" s="202" t="s">
        <v>66</v>
      </c>
      <c r="C44" s="203" t="s">
        <v>67</v>
      </c>
      <c r="D44" s="209"/>
      <c r="E44" s="254"/>
      <c r="F44" s="250" t="s">
        <v>19</v>
      </c>
      <c r="G44" s="254"/>
      <c r="H44" s="250" t="s">
        <v>19</v>
      </c>
      <c r="I44" s="208"/>
      <c r="J44" s="200" t="s">
        <v>19</v>
      </c>
      <c r="L44" s="200" t="s">
        <v>19</v>
      </c>
      <c r="N44" s="200" t="s">
        <v>19</v>
      </c>
    </row>
    <row r="45" spans="1:14" outlineLevel="1">
      <c r="A45" s="202" t="s">
        <v>435</v>
      </c>
      <c r="C45" s="203" t="s">
        <v>436</v>
      </c>
      <c r="D45" s="209"/>
      <c r="E45" s="254"/>
      <c r="F45" s="250"/>
      <c r="G45" s="254"/>
      <c r="H45" s="250"/>
      <c r="I45" s="208"/>
      <c r="J45" s="200"/>
      <c r="L45" s="200"/>
      <c r="N45" s="200"/>
    </row>
    <row r="46" spans="1:14" outlineLevel="1">
      <c r="A46" s="202" t="s">
        <v>407</v>
      </c>
      <c r="C46" s="203" t="s">
        <v>408</v>
      </c>
      <c r="D46" s="209"/>
      <c r="E46" s="254"/>
      <c r="F46" s="256" t="s">
        <v>36</v>
      </c>
      <c r="G46" s="254"/>
      <c r="H46" s="256" t="s">
        <v>36</v>
      </c>
      <c r="I46" s="208"/>
      <c r="J46" s="213" t="s">
        <v>36</v>
      </c>
      <c r="K46" s="214"/>
      <c r="L46" s="213" t="s">
        <v>36</v>
      </c>
      <c r="M46" s="214"/>
      <c r="N46" s="213" t="s">
        <v>36</v>
      </c>
    </row>
    <row r="47" spans="1:14" outlineLevel="1">
      <c r="A47" s="202" t="s">
        <v>455</v>
      </c>
      <c r="C47" s="203" t="s">
        <v>456</v>
      </c>
      <c r="D47" s="209"/>
      <c r="E47" s="254"/>
      <c r="F47" s="250"/>
      <c r="G47" s="254"/>
      <c r="H47" s="250"/>
      <c r="I47" s="208"/>
      <c r="J47" s="200"/>
      <c r="L47" s="200"/>
      <c r="N47" s="200"/>
    </row>
    <row r="48" spans="1:14" outlineLevel="1">
      <c r="A48" s="202" t="s">
        <v>457</v>
      </c>
      <c r="C48" s="203" t="s">
        <v>458</v>
      </c>
      <c r="D48" s="209"/>
      <c r="E48" s="254"/>
      <c r="F48" s="256" t="s">
        <v>36</v>
      </c>
      <c r="G48" s="254"/>
      <c r="H48" s="256" t="s">
        <v>36</v>
      </c>
      <c r="I48" s="208"/>
      <c r="J48" s="213" t="s">
        <v>36</v>
      </c>
      <c r="K48" s="214"/>
      <c r="L48" s="213" t="s">
        <v>36</v>
      </c>
      <c r="M48" s="214"/>
      <c r="N48" s="213" t="s">
        <v>36</v>
      </c>
    </row>
    <row r="49" spans="1:14" outlineLevel="1" collapsed="1">
      <c r="C49" s="204" t="s">
        <v>387</v>
      </c>
      <c r="D49" s="209"/>
      <c r="E49" s="254"/>
      <c r="F49" s="252"/>
      <c r="G49" s="254"/>
      <c r="H49" s="252"/>
      <c r="I49" s="208"/>
    </row>
    <row r="50" spans="1:14" hidden="1" outlineLevel="2">
      <c r="A50" s="202" t="s">
        <v>62</v>
      </c>
      <c r="C50" s="215" t="s">
        <v>63</v>
      </c>
      <c r="D50" s="209"/>
      <c r="E50" s="254"/>
      <c r="F50" s="250"/>
      <c r="G50" s="254"/>
      <c r="H50" s="250"/>
      <c r="I50" s="208"/>
      <c r="J50" s="200"/>
      <c r="L50" s="200"/>
      <c r="N50" s="200" t="s">
        <v>452</v>
      </c>
    </row>
    <row r="51" spans="1:14" hidden="1" outlineLevel="2">
      <c r="A51" s="202" t="s">
        <v>388</v>
      </c>
      <c r="C51" s="215" t="s">
        <v>389</v>
      </c>
      <c r="D51" s="209"/>
      <c r="E51" s="254"/>
      <c r="F51" s="250"/>
      <c r="G51" s="254"/>
      <c r="H51" s="250"/>
      <c r="I51" s="208"/>
      <c r="J51" s="200"/>
      <c r="L51" s="200"/>
      <c r="N51" s="200"/>
    </row>
    <row r="52" spans="1:14" hidden="1" outlineLevel="2">
      <c r="A52" s="202" t="s">
        <v>390</v>
      </c>
      <c r="C52" s="215" t="s">
        <v>391</v>
      </c>
      <c r="D52" s="209"/>
      <c r="E52" s="254"/>
      <c r="F52" s="250"/>
      <c r="G52" s="254"/>
      <c r="H52" s="250"/>
      <c r="I52" s="208"/>
      <c r="J52" s="200"/>
      <c r="L52" s="200"/>
      <c r="N52" s="200"/>
    </row>
    <row r="53" spans="1:14" hidden="1" outlineLevel="2">
      <c r="A53" s="202" t="s">
        <v>64</v>
      </c>
      <c r="C53" s="215" t="s">
        <v>65</v>
      </c>
      <c r="D53" s="209"/>
      <c r="E53" s="254"/>
      <c r="F53" s="250"/>
      <c r="G53" s="254"/>
      <c r="H53" s="250"/>
      <c r="I53" s="208"/>
      <c r="J53" s="200"/>
      <c r="L53" s="200"/>
      <c r="N53" s="200" t="s">
        <v>452</v>
      </c>
    </row>
    <row r="54" spans="1:14" hidden="1" outlineLevel="2">
      <c r="A54" s="202" t="s">
        <v>392</v>
      </c>
      <c r="C54" s="215" t="s">
        <v>393</v>
      </c>
      <c r="D54" s="209"/>
      <c r="E54" s="254"/>
      <c r="F54" s="250"/>
      <c r="G54" s="254"/>
      <c r="H54" s="250"/>
      <c r="I54" s="208"/>
      <c r="J54" s="200"/>
      <c r="L54" s="200"/>
      <c r="N54" s="200"/>
    </row>
    <row r="55" spans="1:14" hidden="1" outlineLevel="2">
      <c r="A55" s="202" t="s">
        <v>394</v>
      </c>
      <c r="C55" s="215" t="s">
        <v>395</v>
      </c>
      <c r="D55" s="209"/>
      <c r="E55" s="254"/>
      <c r="F55" s="250"/>
      <c r="G55" s="254"/>
      <c r="H55" s="250"/>
      <c r="I55" s="208"/>
      <c r="J55" s="200"/>
      <c r="L55" s="200"/>
      <c r="N55" s="200"/>
    </row>
    <row r="56" spans="1:14" hidden="1" outlineLevel="2">
      <c r="A56" s="202" t="s">
        <v>396</v>
      </c>
      <c r="C56" s="215" t="s">
        <v>397</v>
      </c>
      <c r="D56" s="209"/>
      <c r="E56" s="254"/>
      <c r="F56" s="250" t="s">
        <v>71</v>
      </c>
      <c r="G56" s="254"/>
      <c r="H56" s="250" t="s">
        <v>71</v>
      </c>
      <c r="I56" s="208"/>
      <c r="J56" s="200" t="s">
        <v>71</v>
      </c>
      <c r="L56" s="200" t="s">
        <v>71</v>
      </c>
      <c r="N56" s="200" t="s">
        <v>71</v>
      </c>
    </row>
    <row r="57" spans="1:14">
      <c r="C57" s="204" t="s">
        <v>68</v>
      </c>
      <c r="D57" s="209"/>
      <c r="E57" s="254"/>
      <c r="F57" s="257"/>
      <c r="G57" s="254"/>
      <c r="H57" s="257"/>
      <c r="I57" s="208"/>
      <c r="J57" s="215"/>
      <c r="L57" s="215"/>
      <c r="N57" s="215"/>
    </row>
    <row r="58" spans="1:14" outlineLevel="1">
      <c r="A58" s="202" t="s">
        <v>69</v>
      </c>
      <c r="C58" s="203" t="s">
        <v>70</v>
      </c>
      <c r="D58" s="200" t="s">
        <v>71</v>
      </c>
      <c r="E58" s="254"/>
      <c r="F58" s="257"/>
      <c r="G58" s="254"/>
      <c r="H58" s="257"/>
      <c r="I58" s="208"/>
      <c r="J58" s="215"/>
      <c r="L58" s="215"/>
      <c r="N58" s="215"/>
    </row>
    <row r="59" spans="1:14" outlineLevel="1">
      <c r="A59" s="202" t="s">
        <v>72</v>
      </c>
      <c r="C59" s="203" t="s">
        <v>73</v>
      </c>
      <c r="D59" s="200" t="s">
        <v>19</v>
      </c>
      <c r="E59" s="254"/>
      <c r="F59" s="257"/>
      <c r="G59" s="254"/>
      <c r="H59" s="257"/>
      <c r="I59" s="208"/>
      <c r="J59" s="215"/>
      <c r="L59" s="215"/>
      <c r="N59" s="215"/>
    </row>
    <row r="60" spans="1:14" outlineLevel="1">
      <c r="A60" s="202" t="s">
        <v>74</v>
      </c>
      <c r="C60" s="203" t="s">
        <v>75</v>
      </c>
      <c r="D60" s="200" t="s">
        <v>541</v>
      </c>
      <c r="E60" s="254"/>
      <c r="F60" s="257"/>
      <c r="G60" s="254"/>
      <c r="H60" s="257"/>
      <c r="I60" s="208"/>
      <c r="J60" s="215"/>
      <c r="L60" s="215"/>
      <c r="N60" s="215"/>
    </row>
    <row r="61" spans="1:14" outlineLevel="1">
      <c r="A61" s="202" t="s">
        <v>76</v>
      </c>
      <c r="C61" s="203" t="s">
        <v>77</v>
      </c>
      <c r="D61" s="200" t="s">
        <v>71</v>
      </c>
      <c r="E61" s="254"/>
      <c r="F61" s="257"/>
      <c r="G61" s="254"/>
      <c r="H61" s="257"/>
      <c r="I61" s="208"/>
      <c r="J61" s="215"/>
      <c r="L61" s="215"/>
      <c r="N61" s="215"/>
    </row>
    <row r="62" spans="1:14" outlineLevel="1">
      <c r="A62" s="202" t="s">
        <v>78</v>
      </c>
      <c r="C62" s="203" t="s">
        <v>79</v>
      </c>
      <c r="E62" s="254"/>
      <c r="F62" s="250" t="s">
        <v>19</v>
      </c>
      <c r="G62" s="254"/>
      <c r="H62" s="250" t="s">
        <v>19</v>
      </c>
      <c r="I62" s="208"/>
      <c r="J62" s="200" t="s">
        <v>71</v>
      </c>
      <c r="L62" s="200" t="s">
        <v>71</v>
      </c>
      <c r="N62" s="200" t="s">
        <v>71</v>
      </c>
    </row>
    <row r="63" spans="1:14" outlineLevel="1">
      <c r="A63" s="202" t="s">
        <v>80</v>
      </c>
      <c r="C63" s="203" t="s">
        <v>81</v>
      </c>
      <c r="D63" s="209"/>
      <c r="E63" s="254"/>
      <c r="F63" s="250" t="s">
        <v>19</v>
      </c>
      <c r="G63" s="254"/>
      <c r="H63" s="250" t="s">
        <v>19</v>
      </c>
      <c r="I63" s="208"/>
      <c r="J63" s="200" t="s">
        <v>19</v>
      </c>
      <c r="L63" s="200" t="s">
        <v>19</v>
      </c>
      <c r="N63" s="200" t="s">
        <v>19</v>
      </c>
    </row>
    <row r="64" spans="1:14">
      <c r="C64" s="204" t="s">
        <v>82</v>
      </c>
      <c r="D64" s="215"/>
      <c r="E64" s="257"/>
      <c r="F64" s="257"/>
      <c r="G64" s="257"/>
      <c r="H64" s="257"/>
      <c r="I64" s="215"/>
      <c r="J64" s="215"/>
      <c r="L64" s="215"/>
      <c r="N64" s="215"/>
    </row>
    <row r="65" spans="1:14" outlineLevel="1">
      <c r="C65" s="204" t="s">
        <v>83</v>
      </c>
      <c r="D65" s="204" t="s">
        <v>84</v>
      </c>
      <c r="E65" s="254"/>
      <c r="F65" s="258" t="s">
        <v>85</v>
      </c>
      <c r="G65" s="254"/>
      <c r="H65" s="258" t="s">
        <v>85</v>
      </c>
      <c r="I65" s="208"/>
      <c r="J65" s="204" t="s">
        <v>85</v>
      </c>
      <c r="L65" s="204" t="s">
        <v>85</v>
      </c>
      <c r="N65" s="204" t="s">
        <v>85</v>
      </c>
    </row>
    <row r="66" spans="1:14" s="216" customFormat="1" outlineLevel="1">
      <c r="A66" s="202" t="s">
        <v>86</v>
      </c>
      <c r="C66" s="217"/>
      <c r="D66" s="217"/>
      <c r="E66" s="265"/>
      <c r="F66" s="259"/>
      <c r="G66" s="265"/>
      <c r="H66" s="259"/>
      <c r="I66" s="218"/>
      <c r="J66" s="219"/>
      <c r="K66" s="220"/>
      <c r="L66" s="219"/>
      <c r="M66" s="220"/>
      <c r="N66" s="219"/>
    </row>
    <row r="67" spans="1:14" s="216" customFormat="1" outlineLevel="1">
      <c r="A67" s="202" t="s">
        <v>87</v>
      </c>
      <c r="C67" s="217"/>
      <c r="D67" s="217"/>
      <c r="E67" s="265"/>
      <c r="F67" s="259"/>
      <c r="G67" s="265"/>
      <c r="H67" s="259"/>
      <c r="I67" s="218"/>
      <c r="J67" s="219"/>
      <c r="K67" s="220"/>
      <c r="L67" s="219"/>
      <c r="M67" s="220"/>
      <c r="N67" s="219"/>
    </row>
    <row r="68" spans="1:14" s="216" customFormat="1" outlineLevel="1">
      <c r="A68" s="202" t="s">
        <v>88</v>
      </c>
      <c r="C68" s="217"/>
      <c r="D68" s="217"/>
      <c r="E68" s="265"/>
      <c r="F68" s="259"/>
      <c r="G68" s="265"/>
      <c r="H68" s="259"/>
      <c r="I68" s="218"/>
      <c r="J68" s="219"/>
      <c r="K68" s="220"/>
      <c r="L68" s="219"/>
      <c r="M68" s="220"/>
      <c r="N68" s="219"/>
    </row>
    <row r="69" spans="1:14" s="216" customFormat="1" outlineLevel="1">
      <c r="A69" s="202" t="s">
        <v>89</v>
      </c>
      <c r="C69" s="217"/>
      <c r="D69" s="217"/>
      <c r="E69" s="265"/>
      <c r="F69" s="259"/>
      <c r="G69" s="265"/>
      <c r="H69" s="259"/>
      <c r="I69" s="218"/>
      <c r="J69" s="219"/>
      <c r="K69" s="220"/>
      <c r="L69" s="219"/>
      <c r="M69" s="220"/>
      <c r="N69" s="219"/>
    </row>
    <row r="70" spans="1:14" s="216" customFormat="1" outlineLevel="1">
      <c r="A70" s="202" t="s">
        <v>90</v>
      </c>
      <c r="C70" s="217"/>
      <c r="D70" s="217"/>
      <c r="E70" s="265"/>
      <c r="F70" s="259"/>
      <c r="G70" s="265"/>
      <c r="H70" s="259"/>
      <c r="I70" s="218"/>
      <c r="J70" s="219"/>
      <c r="K70" s="220"/>
      <c r="L70" s="219"/>
      <c r="M70" s="220"/>
      <c r="N70" s="219"/>
    </row>
    <row r="71" spans="1:14">
      <c r="E71" s="254"/>
      <c r="F71" s="257"/>
      <c r="G71" s="254"/>
      <c r="H71" s="257"/>
      <c r="I71" s="208"/>
      <c r="J71" s="215"/>
      <c r="L71" s="215"/>
      <c r="N71" s="215"/>
    </row>
    <row r="72" spans="1:14" s="222" customFormat="1">
      <c r="A72" s="221" t="s">
        <v>91</v>
      </c>
      <c r="C72" s="222" t="str">
        <f>"Axiom Query - " &amp; A72</f>
        <v>Axiom Query - [AQ1]</v>
      </c>
      <c r="E72" s="20"/>
      <c r="F72" s="19"/>
      <c r="G72" s="20"/>
      <c r="H72" s="19"/>
      <c r="I72" s="223"/>
    </row>
    <row r="73" spans="1:14">
      <c r="A73" s="224" t="s">
        <v>92</v>
      </c>
      <c r="C73" s="203" t="s">
        <v>93</v>
      </c>
      <c r="E73" s="254"/>
      <c r="F73" s="250"/>
      <c r="G73" s="254"/>
      <c r="H73" s="250"/>
      <c r="I73" s="208"/>
      <c r="J73" s="200" t="s">
        <v>319</v>
      </c>
      <c r="L73" s="200"/>
      <c r="N73" s="200" t="s">
        <v>512</v>
      </c>
    </row>
    <row r="74" spans="1:14">
      <c r="A74" s="224" t="s">
        <v>94</v>
      </c>
      <c r="C74" s="225" t="s">
        <v>95</v>
      </c>
      <c r="D74" s="225"/>
      <c r="E74" s="266"/>
      <c r="F74" s="250" t="s">
        <v>19</v>
      </c>
      <c r="G74" s="266"/>
      <c r="H74" s="250" t="s">
        <v>19</v>
      </c>
      <c r="I74" s="226"/>
      <c r="J74" s="200" t="s">
        <v>19</v>
      </c>
      <c r="L74" s="200" t="s">
        <v>19</v>
      </c>
      <c r="N74" s="200" t="s">
        <v>71</v>
      </c>
    </row>
    <row r="75" spans="1:14">
      <c r="A75" s="224"/>
      <c r="C75" s="227" t="s">
        <v>96</v>
      </c>
      <c r="D75" s="225"/>
      <c r="E75" s="266"/>
      <c r="F75" s="260"/>
      <c r="G75" s="266"/>
      <c r="H75" s="260"/>
      <c r="I75" s="226"/>
    </row>
    <row r="76" spans="1:14" outlineLevel="1">
      <c r="A76" s="224" t="s">
        <v>97</v>
      </c>
      <c r="C76" s="225" t="s">
        <v>98</v>
      </c>
      <c r="D76" s="225"/>
      <c r="E76" s="266"/>
      <c r="F76" s="261"/>
      <c r="G76" s="266"/>
      <c r="H76" s="261"/>
      <c r="I76" s="226"/>
      <c r="J76" s="200"/>
      <c r="L76" s="200"/>
      <c r="N76" s="200"/>
    </row>
    <row r="77" spans="1:14" outlineLevel="1">
      <c r="A77" s="224" t="s">
        <v>99</v>
      </c>
      <c r="C77" s="228" t="s">
        <v>100</v>
      </c>
      <c r="D77" s="228"/>
      <c r="E77" s="266"/>
      <c r="F77" s="250"/>
      <c r="G77" s="266"/>
      <c r="H77" s="250"/>
      <c r="I77" s="226"/>
      <c r="J77" s="200"/>
      <c r="L77" s="200"/>
      <c r="N77" s="200" t="s">
        <v>326</v>
      </c>
    </row>
    <row r="78" spans="1:14" outlineLevel="1">
      <c r="A78" s="224" t="s">
        <v>101</v>
      </c>
      <c r="C78" s="228" t="s">
        <v>102</v>
      </c>
      <c r="D78" s="228"/>
      <c r="E78" s="266"/>
      <c r="F78" s="261" t="str">
        <f>IF(F77="","",F77)</f>
        <v/>
      </c>
      <c r="G78" s="266"/>
      <c r="H78" s="261" t="str">
        <f>IF(H77="","",H77)</f>
        <v/>
      </c>
      <c r="I78" s="226"/>
      <c r="J78" s="270" t="str">
        <f>IF(J77="","",J77)</f>
        <v/>
      </c>
      <c r="L78" s="270" t="str">
        <f>IF(L77="","",L77)</f>
        <v/>
      </c>
      <c r="N78" s="270" t="str">
        <f>IF(N77="","",N77)</f>
        <v>ACCT.FSDetail.FSDETAIL</v>
      </c>
    </row>
    <row r="79" spans="1:14" outlineLevel="1">
      <c r="A79" s="224" t="s">
        <v>103</v>
      </c>
      <c r="C79" s="228" t="s">
        <v>104</v>
      </c>
      <c r="D79" s="228"/>
      <c r="E79" s="266"/>
      <c r="F79" s="250"/>
      <c r="G79" s="266"/>
      <c r="H79" s="250"/>
      <c r="I79" s="226"/>
      <c r="J79" s="200"/>
      <c r="L79" s="200"/>
      <c r="N79" s="200"/>
    </row>
    <row r="80" spans="1:14" outlineLevel="1">
      <c r="A80" s="224"/>
      <c r="C80" s="227" t="s">
        <v>437</v>
      </c>
      <c r="D80" s="228"/>
      <c r="E80" s="266"/>
      <c r="F80" s="260"/>
      <c r="G80" s="266"/>
      <c r="H80" s="260"/>
      <c r="I80" s="226"/>
    </row>
    <row r="81" spans="1:15" s="206" customFormat="1" ht="20.399999999999999" outlineLevel="2">
      <c r="A81" s="229" t="s">
        <v>105</v>
      </c>
      <c r="C81" s="228" t="s">
        <v>106</v>
      </c>
      <c r="D81" s="228"/>
      <c r="E81" s="267"/>
      <c r="F81" s="262"/>
      <c r="G81" s="267"/>
      <c r="H81" s="262"/>
      <c r="I81" s="230"/>
      <c r="J81" s="231"/>
      <c r="K81" s="232"/>
      <c r="L81" s="231"/>
      <c r="M81" s="232"/>
      <c r="N81" s="231" t="str">
        <f>MonthlyFcstAdj!$K$29</f>
        <v>ACCT.Statement.STATEMENT IN ('HoursJC', 'Hours', 'IS')</v>
      </c>
      <c r="O81" s="233"/>
    </row>
    <row r="82" spans="1:15" outlineLevel="2">
      <c r="A82" s="224" t="s">
        <v>107</v>
      </c>
      <c r="C82" s="228" t="s">
        <v>108</v>
      </c>
      <c r="D82" s="228"/>
      <c r="E82" s="266"/>
      <c r="F82" s="262"/>
      <c r="G82" s="266"/>
      <c r="H82" s="262"/>
      <c r="I82" s="226"/>
      <c r="J82" s="231"/>
      <c r="L82" s="231"/>
      <c r="N82" s="231"/>
    </row>
    <row r="83" spans="1:15" outlineLevel="2">
      <c r="A83" s="224" t="s">
        <v>109</v>
      </c>
      <c r="C83" s="228" t="s">
        <v>110</v>
      </c>
      <c r="D83" s="228"/>
      <c r="E83" s="266"/>
      <c r="F83" s="262"/>
      <c r="G83" s="266"/>
      <c r="H83" s="262"/>
      <c r="I83" s="226"/>
      <c r="J83" s="231"/>
      <c r="L83" s="231"/>
      <c r="N83" s="231"/>
    </row>
    <row r="84" spans="1:15" outlineLevel="2">
      <c r="A84" s="224" t="s">
        <v>111</v>
      </c>
      <c r="C84" s="228" t="s">
        <v>112</v>
      </c>
      <c r="D84" s="228"/>
      <c r="E84" s="266"/>
      <c r="F84" s="262"/>
      <c r="G84" s="266"/>
      <c r="H84" s="262"/>
      <c r="I84" s="226"/>
      <c r="J84" s="231"/>
      <c r="L84" s="231"/>
      <c r="N84" s="231"/>
    </row>
    <row r="85" spans="1:15" outlineLevel="1">
      <c r="A85" s="224" t="s">
        <v>113</v>
      </c>
      <c r="C85" s="203" t="s">
        <v>114</v>
      </c>
      <c r="E85" s="266"/>
      <c r="F85" s="250" t="s">
        <v>19</v>
      </c>
      <c r="G85" s="266"/>
      <c r="H85" s="250" t="s">
        <v>19</v>
      </c>
      <c r="I85" s="226"/>
      <c r="J85" s="200" t="s">
        <v>19</v>
      </c>
      <c r="L85" s="200" t="s">
        <v>19</v>
      </c>
      <c r="N85" s="200" t="s">
        <v>71</v>
      </c>
    </row>
    <row r="86" spans="1:15" outlineLevel="1">
      <c r="A86" s="224" t="s">
        <v>115</v>
      </c>
      <c r="C86" s="203" t="s">
        <v>116</v>
      </c>
      <c r="D86" s="228"/>
      <c r="E86" s="260"/>
      <c r="F86" s="250"/>
      <c r="G86" s="260"/>
      <c r="H86" s="250"/>
      <c r="J86" s="200"/>
      <c r="L86" s="200"/>
      <c r="N86" s="200"/>
    </row>
    <row r="87" spans="1:15" outlineLevel="1">
      <c r="A87" s="224" t="s">
        <v>117</v>
      </c>
      <c r="C87" s="203" t="s">
        <v>118</v>
      </c>
      <c r="D87" s="228"/>
      <c r="E87" s="260"/>
      <c r="F87" s="250"/>
      <c r="G87" s="260"/>
      <c r="H87" s="250"/>
      <c r="J87" s="200"/>
      <c r="L87" s="200"/>
      <c r="N87" s="200"/>
    </row>
    <row r="88" spans="1:15" outlineLevel="1">
      <c r="A88" s="224" t="s">
        <v>438</v>
      </c>
      <c r="C88" s="203" t="s">
        <v>439</v>
      </c>
      <c r="D88" s="228"/>
      <c r="E88" s="260"/>
      <c r="F88" s="250"/>
      <c r="G88" s="260"/>
      <c r="H88" s="250"/>
      <c r="J88" s="200"/>
      <c r="L88" s="200"/>
      <c r="N88" s="200"/>
    </row>
    <row r="89" spans="1:15" outlineLevel="1">
      <c r="A89" s="224" t="s">
        <v>467</v>
      </c>
      <c r="C89" s="203" t="s">
        <v>468</v>
      </c>
      <c r="D89" s="228"/>
      <c r="E89" s="260"/>
      <c r="F89" s="250"/>
      <c r="G89" s="260"/>
      <c r="H89" s="250"/>
      <c r="J89" s="200"/>
      <c r="L89" s="200"/>
      <c r="N89" s="200"/>
    </row>
    <row r="90" spans="1:15">
      <c r="A90" s="224"/>
      <c r="C90" s="227" t="s">
        <v>119</v>
      </c>
      <c r="D90" s="228"/>
      <c r="E90" s="260"/>
      <c r="F90" s="260"/>
      <c r="G90" s="260"/>
      <c r="H90" s="260"/>
    </row>
    <row r="91" spans="1:15" outlineLevel="1">
      <c r="A91" s="224" t="s">
        <v>120</v>
      </c>
      <c r="C91" s="228" t="s">
        <v>121</v>
      </c>
      <c r="E91" s="266"/>
      <c r="F91" s="250" t="s">
        <v>122</v>
      </c>
      <c r="G91" s="266"/>
      <c r="H91" s="250" t="s">
        <v>122</v>
      </c>
      <c r="I91" s="226"/>
      <c r="J91" s="200" t="s">
        <v>122</v>
      </c>
      <c r="L91" s="200" t="s">
        <v>122</v>
      </c>
      <c r="N91" s="200" t="s">
        <v>122</v>
      </c>
    </row>
    <row r="92" spans="1:15" outlineLevel="1">
      <c r="A92" s="224" t="s">
        <v>123</v>
      </c>
      <c r="C92" s="228" t="s">
        <v>124</v>
      </c>
      <c r="E92" s="266"/>
      <c r="F92" s="250" t="s">
        <v>19</v>
      </c>
      <c r="G92" s="266"/>
      <c r="H92" s="250" t="s">
        <v>19</v>
      </c>
      <c r="I92" s="226"/>
      <c r="J92" s="200" t="s">
        <v>19</v>
      </c>
      <c r="L92" s="200" t="s">
        <v>19</v>
      </c>
      <c r="N92" s="200" t="s">
        <v>19</v>
      </c>
    </row>
    <row r="93" spans="1:15" outlineLevel="1">
      <c r="A93" s="224" t="s">
        <v>125</v>
      </c>
      <c r="C93" s="228" t="s">
        <v>126</v>
      </c>
      <c r="E93" s="266"/>
      <c r="F93" s="250" t="s">
        <v>19</v>
      </c>
      <c r="G93" s="266"/>
      <c r="H93" s="250" t="s">
        <v>19</v>
      </c>
      <c r="I93" s="226"/>
      <c r="J93" s="200" t="s">
        <v>19</v>
      </c>
      <c r="L93" s="200" t="s">
        <v>19</v>
      </c>
      <c r="N93" s="200" t="s">
        <v>19</v>
      </c>
    </row>
    <row r="94" spans="1:15" outlineLevel="1">
      <c r="A94" s="224" t="s">
        <v>127</v>
      </c>
      <c r="C94" s="228" t="s">
        <v>128</v>
      </c>
      <c r="E94" s="266"/>
      <c r="F94" s="250" t="s">
        <v>71</v>
      </c>
      <c r="G94" s="266"/>
      <c r="H94" s="250" t="s">
        <v>71</v>
      </c>
      <c r="I94" s="226"/>
      <c r="J94" s="200" t="s">
        <v>71</v>
      </c>
      <c r="L94" s="200" t="s">
        <v>71</v>
      </c>
      <c r="N94" s="200" t="s">
        <v>19</v>
      </c>
    </row>
    <row r="95" spans="1:15">
      <c r="A95" s="224"/>
      <c r="C95" s="227" t="s">
        <v>129</v>
      </c>
      <c r="D95" s="234"/>
      <c r="E95" s="260"/>
      <c r="F95" s="260"/>
      <c r="G95" s="260"/>
      <c r="H95" s="260"/>
    </row>
    <row r="96" spans="1:15" outlineLevel="1">
      <c r="A96" s="224"/>
      <c r="C96" s="235" t="s">
        <v>130</v>
      </c>
      <c r="D96" s="234"/>
      <c r="E96" s="260"/>
      <c r="F96" s="260"/>
      <c r="G96" s="260"/>
      <c r="H96" s="260"/>
    </row>
    <row r="97" spans="1:15" outlineLevel="2">
      <c r="A97" s="224" t="s">
        <v>131</v>
      </c>
      <c r="C97" s="236" t="s">
        <v>132</v>
      </c>
      <c r="D97" s="228"/>
      <c r="E97" s="260"/>
      <c r="F97" s="256" t="s">
        <v>133</v>
      </c>
      <c r="G97" s="260"/>
      <c r="H97" s="256" t="s">
        <v>133</v>
      </c>
      <c r="J97" s="213" t="s">
        <v>133</v>
      </c>
      <c r="K97" s="214"/>
      <c r="L97" s="213" t="s">
        <v>133</v>
      </c>
      <c r="M97" s="214"/>
      <c r="N97" s="213" t="s">
        <v>133</v>
      </c>
      <c r="O97" s="214"/>
    </row>
    <row r="98" spans="1:15" outlineLevel="2">
      <c r="A98" s="224" t="s">
        <v>134</v>
      </c>
      <c r="C98" s="236" t="s">
        <v>135</v>
      </c>
      <c r="D98" s="228"/>
      <c r="E98" s="260"/>
      <c r="F98" s="261" t="s">
        <v>136</v>
      </c>
      <c r="G98" s="260"/>
      <c r="H98" s="261" t="s">
        <v>136</v>
      </c>
      <c r="J98" s="200" t="s">
        <v>136</v>
      </c>
      <c r="L98" s="200" t="s">
        <v>136</v>
      </c>
      <c r="N98" s="200" t="s">
        <v>136</v>
      </c>
    </row>
    <row r="99" spans="1:15" outlineLevel="2">
      <c r="A99" s="224" t="s">
        <v>137</v>
      </c>
      <c r="C99" s="236" t="s">
        <v>138</v>
      </c>
      <c r="D99" s="228"/>
      <c r="E99" s="260"/>
      <c r="F99" s="250"/>
      <c r="G99" s="260"/>
      <c r="H99" s="250"/>
      <c r="J99" s="200"/>
      <c r="L99" s="200"/>
      <c r="N99" s="200"/>
    </row>
    <row r="100" spans="1:15" outlineLevel="1">
      <c r="A100" s="224"/>
      <c r="C100" s="235" t="s">
        <v>139</v>
      </c>
      <c r="D100" s="228"/>
      <c r="E100" s="260"/>
      <c r="F100" s="260"/>
      <c r="G100" s="260"/>
      <c r="H100" s="260"/>
    </row>
    <row r="101" spans="1:15" s="238" customFormat="1" outlineLevel="2">
      <c r="A101" s="237" t="s">
        <v>140</v>
      </c>
      <c r="C101" s="236" t="s">
        <v>141</v>
      </c>
      <c r="D101" s="239"/>
      <c r="E101" s="129"/>
      <c r="F101" s="128" t="s">
        <v>142</v>
      </c>
      <c r="G101" s="129"/>
      <c r="H101" s="128" t="s">
        <v>142</v>
      </c>
      <c r="J101" s="126" t="s">
        <v>142</v>
      </c>
      <c r="K101" s="240"/>
      <c r="L101" s="126" t="s">
        <v>142</v>
      </c>
      <c r="M101" s="240"/>
      <c r="N101" s="126" t="s">
        <v>142</v>
      </c>
    </row>
    <row r="102" spans="1:15" s="238" customFormat="1" outlineLevel="2">
      <c r="A102" s="237" t="s">
        <v>36</v>
      </c>
      <c r="C102" s="241" t="s">
        <v>143</v>
      </c>
      <c r="D102" s="241"/>
      <c r="E102" s="132"/>
      <c r="F102" s="131"/>
      <c r="G102" s="132"/>
      <c r="H102" s="131"/>
      <c r="I102" s="241"/>
      <c r="J102" s="242"/>
      <c r="L102" s="242"/>
      <c r="N102" s="242"/>
    </row>
    <row r="103" spans="1:15" s="238" customFormat="1" outlineLevel="2">
      <c r="A103" s="237" t="s">
        <v>144</v>
      </c>
      <c r="C103" s="236" t="s">
        <v>145</v>
      </c>
      <c r="D103" s="239"/>
      <c r="E103" s="129"/>
      <c r="F103" s="130"/>
      <c r="G103" s="129"/>
      <c r="H103" s="130"/>
      <c r="J103" s="125"/>
      <c r="L103" s="125"/>
      <c r="N103" s="125"/>
    </row>
    <row r="104" spans="1:15" s="238" customFormat="1" outlineLevel="2">
      <c r="A104" s="237" t="s">
        <v>36</v>
      </c>
      <c r="C104" s="241" t="s">
        <v>146</v>
      </c>
      <c r="D104" s="241"/>
      <c r="E104" s="132"/>
      <c r="F104" s="131"/>
      <c r="G104" s="132"/>
      <c r="H104" s="131"/>
      <c r="I104" s="241"/>
      <c r="J104" s="242"/>
      <c r="L104" s="242"/>
      <c r="N104" s="242"/>
    </row>
    <row r="105" spans="1:15" s="238" customFormat="1" outlineLevel="2">
      <c r="A105" s="237" t="s">
        <v>36</v>
      </c>
      <c r="C105" s="236" t="s">
        <v>147</v>
      </c>
      <c r="D105" s="241"/>
      <c r="E105" s="132"/>
      <c r="F105" s="131"/>
      <c r="G105" s="132"/>
      <c r="H105" s="131"/>
      <c r="I105" s="241"/>
      <c r="J105" s="242"/>
      <c r="L105" s="242"/>
      <c r="N105" s="242"/>
    </row>
    <row r="106" spans="1:15" s="238" customFormat="1" outlineLevel="2">
      <c r="A106" s="237" t="s">
        <v>148</v>
      </c>
      <c r="C106" s="243" t="s">
        <v>149</v>
      </c>
      <c r="D106" s="239"/>
      <c r="E106" s="129"/>
      <c r="F106" s="127"/>
      <c r="G106" s="129"/>
      <c r="H106" s="127"/>
      <c r="J106" s="125"/>
      <c r="L106" s="125"/>
      <c r="N106" s="125"/>
    </row>
    <row r="107" spans="1:15" s="238" customFormat="1" outlineLevel="2">
      <c r="A107" s="237" t="s">
        <v>150</v>
      </c>
      <c r="C107" s="243" t="s">
        <v>151</v>
      </c>
      <c r="D107" s="239"/>
      <c r="E107" s="129"/>
      <c r="F107" s="127"/>
      <c r="G107" s="129"/>
      <c r="H107" s="127"/>
      <c r="J107" s="125"/>
      <c r="L107" s="125"/>
      <c r="N107" s="125"/>
    </row>
    <row r="108" spans="1:15" s="238" customFormat="1" outlineLevel="2">
      <c r="A108" s="237" t="s">
        <v>152</v>
      </c>
      <c r="C108" s="243" t="s">
        <v>153</v>
      </c>
      <c r="D108" s="239"/>
      <c r="E108" s="129"/>
      <c r="F108" s="127"/>
      <c r="G108" s="129"/>
      <c r="H108" s="127"/>
      <c r="J108" s="125"/>
      <c r="L108" s="125"/>
      <c r="N108" s="125"/>
    </row>
    <row r="109" spans="1:15" s="238" customFormat="1" outlineLevel="2">
      <c r="A109" s="237" t="s">
        <v>154</v>
      </c>
      <c r="C109" s="243" t="s">
        <v>155</v>
      </c>
      <c r="D109" s="239"/>
      <c r="E109" s="129"/>
      <c r="F109" s="127"/>
      <c r="G109" s="129"/>
      <c r="H109" s="127"/>
      <c r="J109" s="125"/>
      <c r="L109" s="125"/>
      <c r="N109" s="125"/>
    </row>
    <row r="110" spans="1:15" s="238" customFormat="1" outlineLevel="2">
      <c r="A110" s="237" t="s">
        <v>36</v>
      </c>
      <c r="C110" s="244"/>
      <c r="D110" s="244"/>
      <c r="E110" s="129"/>
      <c r="F110" s="129"/>
      <c r="G110" s="129"/>
      <c r="H110" s="129"/>
    </row>
    <row r="111" spans="1:15" s="238" customFormat="1" outlineLevel="2">
      <c r="A111" s="237" t="s">
        <v>156</v>
      </c>
      <c r="C111" s="245" t="s">
        <v>157</v>
      </c>
      <c r="D111" s="239"/>
      <c r="E111" s="129"/>
      <c r="F111" s="130"/>
      <c r="G111" s="129"/>
      <c r="H111" s="130"/>
      <c r="J111" s="125"/>
      <c r="L111" s="125"/>
      <c r="N111" s="125"/>
    </row>
    <row r="112" spans="1:15">
      <c r="A112" s="224"/>
      <c r="C112" s="227" t="s">
        <v>158</v>
      </c>
      <c r="D112" s="228"/>
      <c r="E112" s="260"/>
      <c r="F112" s="260"/>
      <c r="G112" s="260"/>
      <c r="H112" s="260"/>
    </row>
    <row r="113" spans="1:15" outlineLevel="1">
      <c r="A113" s="224"/>
      <c r="C113" s="225" t="s">
        <v>159</v>
      </c>
      <c r="D113" s="228"/>
      <c r="E113" s="260"/>
      <c r="F113" s="260"/>
      <c r="G113" s="260"/>
      <c r="H113" s="260"/>
    </row>
    <row r="114" spans="1:15" outlineLevel="1">
      <c r="A114" s="224" t="s">
        <v>160</v>
      </c>
      <c r="C114" s="228" t="s">
        <v>161</v>
      </c>
      <c r="D114" s="228"/>
      <c r="E114" s="260"/>
      <c r="F114" s="256" t="s">
        <v>36</v>
      </c>
      <c r="G114" s="260"/>
      <c r="H114" s="256" t="s">
        <v>36</v>
      </c>
      <c r="J114" s="213" t="s">
        <v>36</v>
      </c>
      <c r="K114" s="214"/>
      <c r="L114" s="213" t="s">
        <v>36</v>
      </c>
      <c r="M114" s="214"/>
      <c r="N114" s="213" t="s">
        <v>36</v>
      </c>
      <c r="O114" s="214"/>
    </row>
    <row r="115" spans="1:15" outlineLevel="1">
      <c r="A115" s="224" t="s">
        <v>162</v>
      </c>
      <c r="C115" s="228" t="s">
        <v>163</v>
      </c>
      <c r="D115" s="228"/>
      <c r="E115" s="260"/>
      <c r="F115" s="256" t="s">
        <v>36</v>
      </c>
      <c r="G115" s="260"/>
      <c r="H115" s="256" t="s">
        <v>36</v>
      </c>
      <c r="J115" s="213" t="s">
        <v>36</v>
      </c>
      <c r="L115" s="213" t="s">
        <v>36</v>
      </c>
      <c r="N115" s="213" t="s">
        <v>36</v>
      </c>
    </row>
    <row r="116" spans="1:15" outlineLevel="1">
      <c r="A116" s="224"/>
      <c r="C116" s="225" t="s">
        <v>164</v>
      </c>
      <c r="D116" s="234"/>
      <c r="E116" s="260"/>
      <c r="F116" s="260"/>
      <c r="G116" s="260"/>
      <c r="H116" s="260"/>
    </row>
    <row r="117" spans="1:15" outlineLevel="1">
      <c r="A117" s="224" t="s">
        <v>165</v>
      </c>
      <c r="C117" s="228" t="s">
        <v>166</v>
      </c>
      <c r="D117" s="228"/>
      <c r="E117" s="260"/>
      <c r="F117" s="256" t="s">
        <v>36</v>
      </c>
      <c r="G117" s="260"/>
      <c r="H117" s="256" t="s">
        <v>36</v>
      </c>
      <c r="J117" s="213" t="s">
        <v>36</v>
      </c>
      <c r="K117" s="214"/>
      <c r="L117" s="213" t="s">
        <v>36</v>
      </c>
      <c r="M117" s="214"/>
      <c r="N117" s="213" t="s">
        <v>36</v>
      </c>
      <c r="O117" s="214"/>
    </row>
    <row r="118" spans="1:15">
      <c r="A118" s="224"/>
      <c r="C118" s="227" t="s">
        <v>167</v>
      </c>
      <c r="D118" s="234"/>
      <c r="E118" s="260"/>
      <c r="F118" s="260"/>
      <c r="G118" s="260"/>
      <c r="H118" s="260"/>
    </row>
    <row r="119" spans="1:15" outlineLevel="1">
      <c r="A119" s="224" t="s">
        <v>168</v>
      </c>
      <c r="C119" s="246" t="s">
        <v>169</v>
      </c>
      <c r="E119" s="266"/>
      <c r="F119" s="250" t="s">
        <v>71</v>
      </c>
      <c r="G119" s="266"/>
      <c r="H119" s="250" t="s">
        <v>71</v>
      </c>
      <c r="I119" s="226"/>
      <c r="J119" s="200" t="s">
        <v>71</v>
      </c>
      <c r="L119" s="200" t="s">
        <v>71</v>
      </c>
      <c r="N119" s="200" t="s">
        <v>71</v>
      </c>
    </row>
    <row r="120" spans="1:15" outlineLevel="1">
      <c r="A120" s="224" t="s">
        <v>170</v>
      </c>
      <c r="C120" s="246" t="s">
        <v>171</v>
      </c>
      <c r="E120" s="266"/>
      <c r="F120" s="250" t="s">
        <v>71</v>
      </c>
      <c r="G120" s="266"/>
      <c r="H120" s="250" t="s">
        <v>71</v>
      </c>
      <c r="I120" s="226"/>
      <c r="J120" s="200" t="s">
        <v>71</v>
      </c>
      <c r="L120" s="200" t="s">
        <v>71</v>
      </c>
      <c r="N120" s="200" t="s">
        <v>19</v>
      </c>
    </row>
    <row r="121" spans="1:15" outlineLevel="1">
      <c r="A121" s="224" t="s">
        <v>459</v>
      </c>
      <c r="C121" s="246" t="s">
        <v>460</v>
      </c>
      <c r="E121" s="266"/>
      <c r="F121" s="250"/>
      <c r="G121" s="266"/>
      <c r="H121" s="250"/>
      <c r="I121" s="226"/>
      <c r="J121" s="200"/>
      <c r="L121" s="200"/>
      <c r="N121" s="200"/>
    </row>
    <row r="122" spans="1:15" outlineLevel="1">
      <c r="A122" s="224" t="s">
        <v>172</v>
      </c>
      <c r="C122" s="246" t="s">
        <v>173</v>
      </c>
      <c r="E122" s="266"/>
      <c r="F122" s="250" t="s">
        <v>19</v>
      </c>
      <c r="G122" s="266"/>
      <c r="H122" s="250" t="s">
        <v>19</v>
      </c>
      <c r="I122" s="226"/>
      <c r="J122" s="200" t="s">
        <v>71</v>
      </c>
      <c r="L122" s="200" t="s">
        <v>71</v>
      </c>
      <c r="N122" s="200" t="s">
        <v>19</v>
      </c>
    </row>
    <row r="123" spans="1:15" outlineLevel="1">
      <c r="A123" s="224" t="s">
        <v>174</v>
      </c>
      <c r="C123" s="246" t="s">
        <v>175</v>
      </c>
      <c r="E123" s="266"/>
      <c r="F123" s="250" t="s">
        <v>19</v>
      </c>
      <c r="G123" s="266"/>
      <c r="H123" s="250" t="s">
        <v>19</v>
      </c>
      <c r="I123" s="226"/>
      <c r="J123" s="200" t="s">
        <v>19</v>
      </c>
      <c r="L123" s="200" t="s">
        <v>19</v>
      </c>
      <c r="N123" s="200" t="s">
        <v>19</v>
      </c>
    </row>
    <row r="124" spans="1:15" outlineLevel="1">
      <c r="A124" s="224" t="s">
        <v>176</v>
      </c>
      <c r="C124" s="246" t="s">
        <v>177</v>
      </c>
      <c r="E124" s="266"/>
      <c r="F124" s="250" t="s">
        <v>19</v>
      </c>
      <c r="G124" s="266"/>
      <c r="H124" s="250" t="s">
        <v>19</v>
      </c>
      <c r="I124" s="226"/>
      <c r="J124" s="200" t="s">
        <v>19</v>
      </c>
      <c r="L124" s="200" t="s">
        <v>19</v>
      </c>
      <c r="N124" s="200" t="s">
        <v>71</v>
      </c>
    </row>
    <row r="125" spans="1:15" outlineLevel="1">
      <c r="A125" s="224" t="s">
        <v>440</v>
      </c>
      <c r="C125" s="246" t="s">
        <v>441</v>
      </c>
      <c r="E125" s="266"/>
      <c r="F125" s="250"/>
      <c r="G125" s="266"/>
      <c r="H125" s="250"/>
      <c r="I125" s="226"/>
      <c r="J125" s="200"/>
      <c r="L125" s="200"/>
      <c r="N125" s="200"/>
    </row>
    <row r="126" spans="1:15" outlineLevel="1">
      <c r="A126" s="224" t="s">
        <v>442</v>
      </c>
      <c r="C126" s="246" t="s">
        <v>443</v>
      </c>
      <c r="E126" s="266"/>
      <c r="F126" s="250"/>
      <c r="G126" s="266"/>
      <c r="H126" s="250"/>
      <c r="I126" s="226"/>
      <c r="J126" s="200"/>
      <c r="L126" s="200"/>
      <c r="N126" s="200"/>
    </row>
    <row r="127" spans="1:15" outlineLevel="1">
      <c r="A127" s="224" t="s">
        <v>539</v>
      </c>
      <c r="C127" s="246" t="s">
        <v>540</v>
      </c>
      <c r="E127" s="266"/>
      <c r="F127" s="262"/>
      <c r="G127" s="266"/>
      <c r="H127" s="262"/>
      <c r="I127" s="226"/>
      <c r="J127" s="231"/>
      <c r="L127" s="231"/>
      <c r="N127" s="231"/>
    </row>
    <row r="128" spans="1:15" outlineLevel="1">
      <c r="A128" s="224" t="s">
        <v>444</v>
      </c>
      <c r="C128" s="246" t="s">
        <v>445</v>
      </c>
      <c r="E128" s="266"/>
      <c r="F128" s="261"/>
      <c r="G128" s="266"/>
      <c r="H128" s="261"/>
      <c r="I128" s="226"/>
      <c r="J128" s="200"/>
      <c r="L128" s="200"/>
      <c r="N128" s="200" t="s">
        <v>577</v>
      </c>
    </row>
    <row r="129" spans="1:14" outlineLevel="1">
      <c r="A129" s="224"/>
      <c r="C129" s="246"/>
      <c r="E129" s="266"/>
      <c r="F129" s="260"/>
      <c r="G129" s="266"/>
      <c r="H129" s="260"/>
      <c r="I129" s="226"/>
    </row>
    <row r="130" spans="1:14" outlineLevel="1">
      <c r="A130" s="224" t="s">
        <v>178</v>
      </c>
      <c r="C130" s="246" t="s">
        <v>179</v>
      </c>
      <c r="D130" s="228"/>
      <c r="E130" s="260"/>
      <c r="F130" s="250" t="s">
        <v>71</v>
      </c>
      <c r="G130" s="260"/>
      <c r="H130" s="250" t="s">
        <v>71</v>
      </c>
      <c r="J130" s="200" t="s">
        <v>19</v>
      </c>
      <c r="L130" s="200" t="s">
        <v>71</v>
      </c>
      <c r="N130" s="200" t="s">
        <v>19</v>
      </c>
    </row>
    <row r="131" spans="1:14" outlineLevel="1">
      <c r="A131" s="224" t="s">
        <v>36</v>
      </c>
      <c r="C131" s="247" t="s">
        <v>143</v>
      </c>
      <c r="D131" s="247"/>
      <c r="E131" s="268"/>
      <c r="F131" s="263"/>
      <c r="G131" s="268"/>
      <c r="H131" s="263"/>
      <c r="I131" s="247"/>
      <c r="J131" s="248"/>
      <c r="L131" s="248"/>
      <c r="N131" s="248"/>
    </row>
    <row r="132" spans="1:14" outlineLevel="1">
      <c r="A132" s="224" t="s">
        <v>180</v>
      </c>
      <c r="C132" s="228" t="s">
        <v>181</v>
      </c>
      <c r="D132" s="228"/>
      <c r="E132" s="260"/>
      <c r="F132" s="250" t="s">
        <v>71</v>
      </c>
      <c r="G132" s="260"/>
      <c r="H132" s="250" t="s">
        <v>71</v>
      </c>
      <c r="J132" s="200" t="s">
        <v>71</v>
      </c>
      <c r="L132" s="200" t="s">
        <v>71</v>
      </c>
      <c r="N132" s="200" t="s">
        <v>71</v>
      </c>
    </row>
    <row r="133" spans="1:14" outlineLevel="1">
      <c r="A133" s="224" t="s">
        <v>182</v>
      </c>
      <c r="C133" s="228" t="s">
        <v>183</v>
      </c>
      <c r="D133" s="228"/>
      <c r="E133" s="260"/>
      <c r="F133" s="250" t="s">
        <v>71</v>
      </c>
      <c r="G133" s="260"/>
      <c r="H133" s="250" t="s">
        <v>71</v>
      </c>
      <c r="J133" s="200" t="s">
        <v>71</v>
      </c>
      <c r="L133" s="200" t="s">
        <v>71</v>
      </c>
      <c r="N133" s="200" t="s">
        <v>71</v>
      </c>
    </row>
    <row r="134" spans="1:14" outlineLevel="1">
      <c r="A134" s="224" t="s">
        <v>184</v>
      </c>
      <c r="C134" s="228" t="s">
        <v>185</v>
      </c>
      <c r="D134" s="228"/>
      <c r="E134" s="260"/>
      <c r="F134" s="250" t="s">
        <v>71</v>
      </c>
      <c r="G134" s="260"/>
      <c r="H134" s="250" t="s">
        <v>71</v>
      </c>
      <c r="J134" s="200" t="s">
        <v>19</v>
      </c>
      <c r="L134" s="200" t="s">
        <v>71</v>
      </c>
      <c r="N134" s="200" t="s">
        <v>19</v>
      </c>
    </row>
    <row r="135" spans="1:14">
      <c r="A135" s="224" t="s">
        <v>36</v>
      </c>
      <c r="C135" s="227" t="s">
        <v>186</v>
      </c>
      <c r="D135" s="234"/>
      <c r="E135" s="260"/>
      <c r="F135" s="260"/>
      <c r="G135" s="260"/>
      <c r="H135" s="260"/>
    </row>
    <row r="136" spans="1:14" outlineLevel="1">
      <c r="A136" s="224" t="s">
        <v>187</v>
      </c>
      <c r="C136" s="203" t="s">
        <v>188</v>
      </c>
      <c r="E136" s="266"/>
      <c r="F136" s="259"/>
      <c r="G136" s="266"/>
      <c r="H136" s="259"/>
      <c r="I136" s="226"/>
      <c r="J136" s="219"/>
      <c r="L136" s="219"/>
      <c r="N136" s="219"/>
    </row>
    <row r="137" spans="1:14" outlineLevel="1">
      <c r="A137" s="224" t="s">
        <v>189</v>
      </c>
      <c r="C137" s="203" t="s">
        <v>190</v>
      </c>
      <c r="E137" s="266"/>
      <c r="F137" s="259"/>
      <c r="G137" s="266"/>
      <c r="H137" s="259"/>
      <c r="I137" s="226"/>
      <c r="J137" s="219"/>
      <c r="L137" s="219"/>
      <c r="N137" s="219"/>
    </row>
    <row r="138" spans="1:14" outlineLevel="1">
      <c r="A138" s="224" t="s">
        <v>191</v>
      </c>
      <c r="C138" s="203" t="s">
        <v>192</v>
      </c>
      <c r="E138" s="266"/>
      <c r="F138" s="259"/>
      <c r="G138" s="266"/>
      <c r="H138" s="259"/>
      <c r="I138" s="226"/>
      <c r="J138" s="219"/>
      <c r="L138" s="219"/>
      <c r="N138" s="219"/>
    </row>
    <row r="140" spans="1:14" s="222" customFormat="1">
      <c r="A140" s="221" t="s">
        <v>193</v>
      </c>
      <c r="C140" s="222" t="str">
        <f>"Axiom Query - " &amp; A140</f>
        <v>Axiom Query - [AQ2]</v>
      </c>
      <c r="E140" s="20"/>
      <c r="F140" s="19"/>
      <c r="G140" s="20"/>
      <c r="H140" s="19"/>
      <c r="I140" s="223"/>
    </row>
    <row r="141" spans="1:14">
      <c r="A141" s="224" t="s">
        <v>92</v>
      </c>
      <c r="C141" s="203" t="s">
        <v>93</v>
      </c>
      <c r="E141" s="254"/>
      <c r="F141" s="250"/>
      <c r="G141" s="254"/>
      <c r="H141" s="250"/>
      <c r="I141" s="208"/>
      <c r="J141" s="200"/>
      <c r="L141" s="200"/>
      <c r="N141" s="200" t="s">
        <v>424</v>
      </c>
    </row>
    <row r="142" spans="1:14">
      <c r="A142" s="224" t="s">
        <v>94</v>
      </c>
      <c r="C142" s="225" t="s">
        <v>95</v>
      </c>
      <c r="D142" s="225"/>
      <c r="E142" s="266"/>
      <c r="F142" s="250" t="s">
        <v>19</v>
      </c>
      <c r="G142" s="266"/>
      <c r="H142" s="250" t="s">
        <v>19</v>
      </c>
      <c r="I142" s="226"/>
      <c r="J142" s="200" t="s">
        <v>19</v>
      </c>
      <c r="L142" s="200" t="s">
        <v>19</v>
      </c>
      <c r="N142" s="200" t="s">
        <v>19</v>
      </c>
    </row>
    <row r="143" spans="1:14">
      <c r="A143" s="224"/>
      <c r="C143" s="227" t="s">
        <v>96</v>
      </c>
      <c r="D143" s="225"/>
      <c r="E143" s="266"/>
      <c r="F143" s="260"/>
      <c r="G143" s="266"/>
      <c r="H143" s="260"/>
      <c r="I143" s="226"/>
    </row>
    <row r="144" spans="1:14" outlineLevel="1">
      <c r="A144" s="224" t="s">
        <v>97</v>
      </c>
      <c r="C144" s="225" t="s">
        <v>98</v>
      </c>
      <c r="D144" s="225"/>
      <c r="E144" s="266"/>
      <c r="F144" s="261"/>
      <c r="G144" s="266"/>
      <c r="H144" s="261"/>
      <c r="I144" s="226"/>
      <c r="J144" s="200"/>
      <c r="L144" s="200"/>
      <c r="N144" s="200"/>
    </row>
    <row r="145" spans="1:15" outlineLevel="1">
      <c r="A145" s="224" t="s">
        <v>99</v>
      </c>
      <c r="C145" s="228" t="s">
        <v>100</v>
      </c>
      <c r="D145" s="228"/>
      <c r="E145" s="266"/>
      <c r="F145" s="250"/>
      <c r="G145" s="266"/>
      <c r="H145" s="250"/>
      <c r="I145" s="226"/>
      <c r="J145" s="200"/>
      <c r="L145" s="200"/>
      <c r="N145" s="200" t="s">
        <v>326</v>
      </c>
    </row>
    <row r="146" spans="1:15" outlineLevel="1">
      <c r="A146" s="224" t="s">
        <v>101</v>
      </c>
      <c r="C146" s="228" t="s">
        <v>102</v>
      </c>
      <c r="D146" s="228"/>
      <c r="E146" s="266"/>
      <c r="F146" s="261" t="str">
        <f>IF(F145="","",F145)</f>
        <v/>
      </c>
      <c r="G146" s="266"/>
      <c r="H146" s="261" t="str">
        <f>IF(H145="","",H145)</f>
        <v/>
      </c>
      <c r="I146" s="226"/>
      <c r="J146" s="270" t="str">
        <f>IF(J145="","",J145)</f>
        <v/>
      </c>
      <c r="L146" s="270" t="str">
        <f>IF(L145="","",L145)</f>
        <v/>
      </c>
      <c r="N146" s="270" t="str">
        <f>IF(N145="","",N145)</f>
        <v>ACCT.FSDetail.FSDETAIL</v>
      </c>
    </row>
    <row r="147" spans="1:15" outlineLevel="1">
      <c r="A147" s="224" t="s">
        <v>103</v>
      </c>
      <c r="C147" s="228" t="s">
        <v>104</v>
      </c>
      <c r="D147" s="228"/>
      <c r="E147" s="266"/>
      <c r="F147" s="250"/>
      <c r="G147" s="266"/>
      <c r="H147" s="250"/>
      <c r="I147" s="226"/>
      <c r="J147" s="200"/>
      <c r="L147" s="200"/>
      <c r="N147" s="200"/>
    </row>
    <row r="148" spans="1:15" outlineLevel="1" collapsed="1">
      <c r="A148" s="224"/>
      <c r="C148" s="227" t="s">
        <v>437</v>
      </c>
      <c r="D148" s="228"/>
      <c r="E148" s="266"/>
      <c r="F148" s="260"/>
      <c r="G148" s="266"/>
      <c r="H148" s="260"/>
      <c r="I148" s="226"/>
    </row>
    <row r="149" spans="1:15" s="206" customFormat="1" ht="20.399999999999999" hidden="1" outlineLevel="2">
      <c r="A149" s="229" t="s">
        <v>105</v>
      </c>
      <c r="C149" s="228" t="s">
        <v>106</v>
      </c>
      <c r="D149" s="228"/>
      <c r="E149" s="267"/>
      <c r="F149" s="262"/>
      <c r="G149" s="267"/>
      <c r="H149" s="262"/>
      <c r="I149" s="230"/>
      <c r="J149" s="231"/>
      <c r="K149" s="232"/>
      <c r="L149" s="231"/>
      <c r="M149" s="232"/>
      <c r="N149" s="231" t="str">
        <f>MonthlyFcstAdj!$K$29</f>
        <v>ACCT.Statement.STATEMENT IN ('HoursJC', 'Hours', 'IS')</v>
      </c>
      <c r="O149" s="233"/>
    </row>
    <row r="150" spans="1:15" hidden="1" outlineLevel="2">
      <c r="A150" s="224" t="s">
        <v>107</v>
      </c>
      <c r="C150" s="228" t="s">
        <v>108</v>
      </c>
      <c r="D150" s="228"/>
      <c r="E150" s="266"/>
      <c r="F150" s="262"/>
      <c r="G150" s="266"/>
      <c r="H150" s="262"/>
      <c r="I150" s="226"/>
      <c r="J150" s="231"/>
      <c r="L150" s="231"/>
      <c r="N150" s="231"/>
    </row>
    <row r="151" spans="1:15" hidden="1" outlineLevel="2">
      <c r="A151" s="224" t="s">
        <v>109</v>
      </c>
      <c r="C151" s="228" t="s">
        <v>110</v>
      </c>
      <c r="D151" s="228"/>
      <c r="E151" s="266"/>
      <c r="F151" s="262"/>
      <c r="G151" s="266"/>
      <c r="H151" s="262"/>
      <c r="I151" s="226"/>
      <c r="J151" s="231"/>
      <c r="L151" s="231"/>
      <c r="N151" s="231"/>
    </row>
    <row r="152" spans="1:15" hidden="1" outlineLevel="2">
      <c r="A152" s="224" t="s">
        <v>111</v>
      </c>
      <c r="C152" s="228" t="s">
        <v>112</v>
      </c>
      <c r="D152" s="228"/>
      <c r="E152" s="266"/>
      <c r="F152" s="262"/>
      <c r="G152" s="266"/>
      <c r="H152" s="262"/>
      <c r="I152" s="226"/>
      <c r="J152" s="231"/>
      <c r="L152" s="231"/>
      <c r="N152" s="231"/>
    </row>
    <row r="153" spans="1:15" outlineLevel="1">
      <c r="A153" s="224" t="s">
        <v>113</v>
      </c>
      <c r="C153" s="203" t="s">
        <v>114</v>
      </c>
      <c r="E153" s="266"/>
      <c r="F153" s="250" t="s">
        <v>19</v>
      </c>
      <c r="G153" s="266"/>
      <c r="H153" s="250" t="s">
        <v>19</v>
      </c>
      <c r="I153" s="226"/>
      <c r="J153" s="200" t="s">
        <v>19</v>
      </c>
      <c r="L153" s="200" t="s">
        <v>19</v>
      </c>
      <c r="N153" s="200" t="s">
        <v>71</v>
      </c>
    </row>
    <row r="154" spans="1:15" outlineLevel="1">
      <c r="A154" s="224" t="s">
        <v>115</v>
      </c>
      <c r="C154" s="203" t="s">
        <v>116</v>
      </c>
      <c r="D154" s="228"/>
      <c r="E154" s="260"/>
      <c r="F154" s="250"/>
      <c r="G154" s="260"/>
      <c r="H154" s="250"/>
      <c r="J154" s="200"/>
      <c r="L154" s="200"/>
      <c r="N154" s="200"/>
    </row>
    <row r="155" spans="1:15" outlineLevel="1">
      <c r="A155" s="224" t="s">
        <v>117</v>
      </c>
      <c r="C155" s="203" t="s">
        <v>118</v>
      </c>
      <c r="D155" s="228"/>
      <c r="E155" s="260"/>
      <c r="F155" s="250"/>
      <c r="G155" s="260"/>
      <c r="H155" s="250"/>
      <c r="J155" s="200"/>
      <c r="L155" s="200"/>
      <c r="N155" s="200"/>
    </row>
    <row r="156" spans="1:15" outlineLevel="1">
      <c r="A156" s="224" t="s">
        <v>438</v>
      </c>
      <c r="C156" s="203" t="s">
        <v>439</v>
      </c>
      <c r="D156" s="228"/>
      <c r="E156" s="260"/>
      <c r="F156" s="250"/>
      <c r="G156" s="260"/>
      <c r="H156" s="250"/>
      <c r="J156" s="200"/>
      <c r="L156" s="200"/>
      <c r="N156" s="200"/>
    </row>
    <row r="157" spans="1:15" outlineLevel="1">
      <c r="A157" s="224" t="s">
        <v>467</v>
      </c>
      <c r="C157" s="203" t="s">
        <v>468</v>
      </c>
      <c r="D157" s="228"/>
      <c r="E157" s="260"/>
      <c r="F157" s="250"/>
      <c r="G157" s="260"/>
      <c r="H157" s="250"/>
      <c r="J157" s="200"/>
      <c r="L157" s="200"/>
      <c r="N157" s="200"/>
    </row>
    <row r="158" spans="1:15" collapsed="1">
      <c r="A158" s="224"/>
      <c r="C158" s="227" t="s">
        <v>119</v>
      </c>
      <c r="D158" s="228"/>
      <c r="E158" s="260"/>
      <c r="F158" s="260"/>
      <c r="G158" s="260"/>
      <c r="H158" s="260"/>
    </row>
    <row r="159" spans="1:15" hidden="1" outlineLevel="1">
      <c r="A159" s="224" t="s">
        <v>120</v>
      </c>
      <c r="C159" s="228" t="s">
        <v>121</v>
      </c>
      <c r="E159" s="266"/>
      <c r="F159" s="250" t="s">
        <v>122</v>
      </c>
      <c r="G159" s="266"/>
      <c r="H159" s="250" t="s">
        <v>122</v>
      </c>
      <c r="I159" s="226"/>
      <c r="J159" s="200" t="s">
        <v>122</v>
      </c>
      <c r="L159" s="200" t="s">
        <v>122</v>
      </c>
      <c r="N159" s="200" t="s">
        <v>122</v>
      </c>
    </row>
    <row r="160" spans="1:15" hidden="1" outlineLevel="1">
      <c r="A160" s="224" t="s">
        <v>123</v>
      </c>
      <c r="C160" s="228" t="s">
        <v>124</v>
      </c>
      <c r="E160" s="266"/>
      <c r="F160" s="250" t="s">
        <v>19</v>
      </c>
      <c r="G160" s="266"/>
      <c r="H160" s="250" t="s">
        <v>19</v>
      </c>
      <c r="I160" s="226"/>
      <c r="J160" s="200" t="s">
        <v>19</v>
      </c>
      <c r="L160" s="200" t="s">
        <v>19</v>
      </c>
      <c r="N160" s="200" t="s">
        <v>19</v>
      </c>
    </row>
    <row r="161" spans="1:15" hidden="1" outlineLevel="1">
      <c r="A161" s="224" t="s">
        <v>125</v>
      </c>
      <c r="C161" s="228" t="s">
        <v>126</v>
      </c>
      <c r="E161" s="266"/>
      <c r="F161" s="250" t="s">
        <v>19</v>
      </c>
      <c r="G161" s="266"/>
      <c r="H161" s="250" t="s">
        <v>19</v>
      </c>
      <c r="I161" s="226"/>
      <c r="J161" s="200" t="s">
        <v>19</v>
      </c>
      <c r="L161" s="200" t="s">
        <v>19</v>
      </c>
      <c r="N161" s="200" t="s">
        <v>19</v>
      </c>
    </row>
    <row r="162" spans="1:15" hidden="1" outlineLevel="1">
      <c r="A162" s="224" t="s">
        <v>127</v>
      </c>
      <c r="C162" s="228" t="s">
        <v>128</v>
      </c>
      <c r="E162" s="266"/>
      <c r="F162" s="250" t="s">
        <v>71</v>
      </c>
      <c r="G162" s="266"/>
      <c r="H162" s="250" t="s">
        <v>71</v>
      </c>
      <c r="I162" s="226"/>
      <c r="J162" s="200" t="s">
        <v>71</v>
      </c>
      <c r="L162" s="200" t="s">
        <v>71</v>
      </c>
      <c r="N162" s="200" t="s">
        <v>19</v>
      </c>
    </row>
    <row r="163" spans="1:15" collapsed="1">
      <c r="A163" s="224"/>
      <c r="C163" s="227" t="s">
        <v>129</v>
      </c>
      <c r="D163" s="234"/>
      <c r="E163" s="260"/>
      <c r="F163" s="260"/>
      <c r="G163" s="260"/>
      <c r="H163" s="260"/>
    </row>
    <row r="164" spans="1:15" hidden="1" outlineLevel="1" collapsed="1">
      <c r="A164" s="224"/>
      <c r="C164" s="235" t="s">
        <v>130</v>
      </c>
      <c r="D164" s="234"/>
      <c r="E164" s="260"/>
      <c r="F164" s="260"/>
      <c r="G164" s="260"/>
      <c r="H164" s="260"/>
    </row>
    <row r="165" spans="1:15" hidden="1" outlineLevel="2">
      <c r="A165" s="224" t="s">
        <v>131</v>
      </c>
      <c r="C165" s="236" t="s">
        <v>132</v>
      </c>
      <c r="D165" s="228"/>
      <c r="E165" s="260"/>
      <c r="F165" s="256" t="s">
        <v>133</v>
      </c>
      <c r="G165" s="260"/>
      <c r="H165" s="256" t="s">
        <v>133</v>
      </c>
      <c r="J165" s="213" t="s">
        <v>194</v>
      </c>
      <c r="K165" s="214"/>
      <c r="L165" s="213" t="s">
        <v>194</v>
      </c>
      <c r="M165" s="214"/>
      <c r="N165" s="213" t="s">
        <v>194</v>
      </c>
      <c r="O165" s="214"/>
    </row>
    <row r="166" spans="1:15" hidden="1" outlineLevel="2">
      <c r="A166" s="224" t="s">
        <v>134</v>
      </c>
      <c r="C166" s="236" t="s">
        <v>135</v>
      </c>
      <c r="D166" s="228"/>
      <c r="E166" s="260"/>
      <c r="F166" s="261" t="s">
        <v>136</v>
      </c>
      <c r="G166" s="260"/>
      <c r="H166" s="261" t="s">
        <v>136</v>
      </c>
      <c r="J166" s="200" t="s">
        <v>195</v>
      </c>
      <c r="L166" s="200" t="s">
        <v>195</v>
      </c>
      <c r="N166" s="200" t="s">
        <v>195</v>
      </c>
    </row>
    <row r="167" spans="1:15" hidden="1" outlineLevel="2">
      <c r="A167" s="224" t="s">
        <v>137</v>
      </c>
      <c r="C167" s="236" t="s">
        <v>138</v>
      </c>
      <c r="D167" s="228"/>
      <c r="E167" s="260"/>
      <c r="F167" s="250"/>
      <c r="G167" s="260"/>
      <c r="H167" s="250"/>
      <c r="J167" s="200"/>
      <c r="L167" s="200"/>
      <c r="N167" s="200"/>
    </row>
    <row r="168" spans="1:15" hidden="1" outlineLevel="1" collapsed="1">
      <c r="A168" s="224"/>
      <c r="C168" s="235" t="s">
        <v>139</v>
      </c>
      <c r="D168" s="228"/>
      <c r="E168" s="260"/>
      <c r="F168" s="260"/>
      <c r="G168" s="260"/>
      <c r="H168" s="260"/>
    </row>
    <row r="169" spans="1:15" s="238" customFormat="1" hidden="1" outlineLevel="2">
      <c r="A169" s="237" t="s">
        <v>140</v>
      </c>
      <c r="C169" s="236" t="s">
        <v>141</v>
      </c>
      <c r="D169" s="239"/>
      <c r="E169" s="129"/>
      <c r="F169" s="128" t="s">
        <v>142</v>
      </c>
      <c r="G169" s="129"/>
      <c r="H169" s="128" t="s">
        <v>142</v>
      </c>
      <c r="J169" s="126" t="s">
        <v>196</v>
      </c>
      <c r="K169" s="240"/>
      <c r="L169" s="126" t="s">
        <v>196</v>
      </c>
      <c r="M169" s="240"/>
      <c r="N169" s="126" t="s">
        <v>196</v>
      </c>
    </row>
    <row r="170" spans="1:15" s="238" customFormat="1" hidden="1" outlineLevel="2">
      <c r="A170" s="237" t="s">
        <v>36</v>
      </c>
      <c r="C170" s="241" t="s">
        <v>143</v>
      </c>
      <c r="D170" s="241"/>
      <c r="E170" s="132"/>
      <c r="F170" s="131"/>
      <c r="G170" s="132"/>
      <c r="H170" s="131"/>
      <c r="I170" s="241"/>
      <c r="J170" s="242"/>
      <c r="L170" s="242"/>
      <c r="N170" s="242"/>
    </row>
    <row r="171" spans="1:15" s="238" customFormat="1" hidden="1" outlineLevel="2">
      <c r="A171" s="237" t="s">
        <v>144</v>
      </c>
      <c r="C171" s="236" t="s">
        <v>145</v>
      </c>
      <c r="D171" s="239"/>
      <c r="E171" s="129"/>
      <c r="F171" s="130"/>
      <c r="G171" s="129"/>
      <c r="H171" s="130"/>
      <c r="J171" s="125"/>
      <c r="L171" s="125"/>
      <c r="N171" s="125"/>
    </row>
    <row r="172" spans="1:15" s="238" customFormat="1" hidden="1" outlineLevel="2">
      <c r="A172" s="237" t="s">
        <v>36</v>
      </c>
      <c r="C172" s="241" t="s">
        <v>146</v>
      </c>
      <c r="D172" s="241"/>
      <c r="E172" s="132"/>
      <c r="F172" s="131"/>
      <c r="G172" s="132"/>
      <c r="H172" s="131"/>
      <c r="I172" s="241"/>
      <c r="J172" s="242"/>
      <c r="L172" s="242"/>
      <c r="N172" s="242"/>
    </row>
    <row r="173" spans="1:15" s="238" customFormat="1" hidden="1" outlineLevel="2">
      <c r="A173" s="237" t="s">
        <v>36</v>
      </c>
      <c r="C173" s="236" t="s">
        <v>147</v>
      </c>
      <c r="D173" s="241"/>
      <c r="E173" s="132"/>
      <c r="F173" s="131"/>
      <c r="G173" s="132"/>
      <c r="H173" s="131"/>
      <c r="I173" s="241"/>
      <c r="J173" s="242"/>
      <c r="L173" s="242"/>
      <c r="N173" s="242"/>
    </row>
    <row r="174" spans="1:15" s="238" customFormat="1" hidden="1" outlineLevel="2">
      <c r="A174" s="237" t="s">
        <v>148</v>
      </c>
      <c r="C174" s="243" t="s">
        <v>149</v>
      </c>
      <c r="D174" s="239"/>
      <c r="E174" s="129"/>
      <c r="F174" s="127"/>
      <c r="G174" s="129"/>
      <c r="H174" s="127"/>
      <c r="J174" s="125"/>
      <c r="L174" s="125"/>
      <c r="N174" s="125"/>
    </row>
    <row r="175" spans="1:15" s="238" customFormat="1" hidden="1" outlineLevel="2">
      <c r="A175" s="237" t="s">
        <v>150</v>
      </c>
      <c r="C175" s="243" t="s">
        <v>151</v>
      </c>
      <c r="D175" s="239"/>
      <c r="E175" s="129"/>
      <c r="F175" s="127"/>
      <c r="G175" s="129"/>
      <c r="H175" s="127"/>
      <c r="J175" s="125"/>
      <c r="L175" s="125"/>
      <c r="N175" s="125"/>
    </row>
    <row r="176" spans="1:15" s="238" customFormat="1" hidden="1" outlineLevel="2">
      <c r="A176" s="237" t="s">
        <v>152</v>
      </c>
      <c r="C176" s="243" t="s">
        <v>153</v>
      </c>
      <c r="D176" s="239"/>
      <c r="E176" s="129"/>
      <c r="F176" s="127"/>
      <c r="G176" s="129"/>
      <c r="H176" s="127"/>
      <c r="J176" s="125"/>
      <c r="L176" s="125"/>
      <c r="N176" s="125"/>
    </row>
    <row r="177" spans="1:15" s="238" customFormat="1" hidden="1" outlineLevel="2">
      <c r="A177" s="237" t="s">
        <v>154</v>
      </c>
      <c r="C177" s="243" t="s">
        <v>155</v>
      </c>
      <c r="D177" s="239"/>
      <c r="E177" s="129"/>
      <c r="F177" s="127"/>
      <c r="G177" s="129"/>
      <c r="H177" s="127"/>
      <c r="J177" s="125"/>
      <c r="L177" s="125"/>
      <c r="N177" s="125"/>
    </row>
    <row r="178" spans="1:15" s="238" customFormat="1" hidden="1" outlineLevel="2">
      <c r="A178" s="237" t="s">
        <v>36</v>
      </c>
      <c r="C178" s="244"/>
      <c r="D178" s="244"/>
      <c r="E178" s="129"/>
      <c r="F178" s="129"/>
      <c r="G178" s="129"/>
      <c r="H178" s="129"/>
    </row>
    <row r="179" spans="1:15" s="238" customFormat="1" hidden="1" outlineLevel="2">
      <c r="A179" s="237" t="s">
        <v>156</v>
      </c>
      <c r="C179" s="245" t="s">
        <v>157</v>
      </c>
      <c r="D179" s="239"/>
      <c r="E179" s="129"/>
      <c r="F179" s="130"/>
      <c r="G179" s="129"/>
      <c r="H179" s="130"/>
      <c r="J179" s="125"/>
      <c r="L179" s="125"/>
      <c r="N179" s="125"/>
    </row>
    <row r="180" spans="1:15" collapsed="1">
      <c r="A180" s="224"/>
      <c r="C180" s="227" t="s">
        <v>158</v>
      </c>
      <c r="D180" s="228"/>
      <c r="E180" s="260"/>
      <c r="F180" s="260"/>
      <c r="G180" s="260"/>
      <c r="H180" s="260"/>
    </row>
    <row r="181" spans="1:15" hidden="1" outlineLevel="1">
      <c r="A181" s="224"/>
      <c r="C181" s="225" t="s">
        <v>159</v>
      </c>
      <c r="D181" s="228"/>
      <c r="E181" s="260"/>
      <c r="F181" s="260"/>
      <c r="G181" s="260"/>
      <c r="H181" s="260"/>
    </row>
    <row r="182" spans="1:15" hidden="1" outlineLevel="1">
      <c r="A182" s="224" t="s">
        <v>160</v>
      </c>
      <c r="C182" s="228" t="s">
        <v>161</v>
      </c>
      <c r="D182" s="228"/>
      <c r="E182" s="260"/>
      <c r="F182" s="256" t="s">
        <v>36</v>
      </c>
      <c r="G182" s="260"/>
      <c r="H182" s="256" t="s">
        <v>36</v>
      </c>
      <c r="J182" s="213" t="s">
        <v>36</v>
      </c>
      <c r="K182" s="214"/>
      <c r="L182" s="213" t="s">
        <v>36</v>
      </c>
      <c r="M182" s="214"/>
      <c r="N182" s="213" t="s">
        <v>36</v>
      </c>
      <c r="O182" s="214"/>
    </row>
    <row r="183" spans="1:15" hidden="1" outlineLevel="1">
      <c r="A183" s="224" t="s">
        <v>162</v>
      </c>
      <c r="C183" s="228" t="s">
        <v>163</v>
      </c>
      <c r="D183" s="228"/>
      <c r="E183" s="260"/>
      <c r="F183" s="256" t="s">
        <v>36</v>
      </c>
      <c r="G183" s="260"/>
      <c r="H183" s="256" t="s">
        <v>36</v>
      </c>
      <c r="J183" s="213" t="s">
        <v>36</v>
      </c>
      <c r="L183" s="213" t="s">
        <v>36</v>
      </c>
      <c r="N183" s="213" t="s">
        <v>36</v>
      </c>
    </row>
    <row r="184" spans="1:15" hidden="1" outlineLevel="1">
      <c r="A184" s="224"/>
      <c r="C184" s="225" t="s">
        <v>164</v>
      </c>
      <c r="D184" s="234"/>
      <c r="E184" s="260"/>
      <c r="F184" s="260"/>
      <c r="G184" s="260"/>
      <c r="H184" s="260"/>
    </row>
    <row r="185" spans="1:15" hidden="1" outlineLevel="1">
      <c r="A185" s="224" t="s">
        <v>165</v>
      </c>
      <c r="C185" s="228" t="s">
        <v>166</v>
      </c>
      <c r="D185" s="228"/>
      <c r="E185" s="260"/>
      <c r="F185" s="256" t="s">
        <v>36</v>
      </c>
      <c r="G185" s="260"/>
      <c r="H185" s="256" t="s">
        <v>36</v>
      </c>
      <c r="J185" s="213" t="s">
        <v>36</v>
      </c>
      <c r="K185" s="214"/>
      <c r="L185" s="213" t="s">
        <v>36</v>
      </c>
      <c r="M185" s="214"/>
      <c r="N185" s="213" t="s">
        <v>36</v>
      </c>
      <c r="O185" s="214"/>
    </row>
    <row r="186" spans="1:15">
      <c r="A186" s="224"/>
      <c r="C186" s="227" t="s">
        <v>167</v>
      </c>
      <c r="D186" s="234"/>
      <c r="E186" s="260"/>
      <c r="F186" s="260"/>
      <c r="G186" s="260"/>
      <c r="H186" s="260"/>
    </row>
    <row r="187" spans="1:15" outlineLevel="1">
      <c r="A187" s="224" t="s">
        <v>168</v>
      </c>
      <c r="C187" s="246" t="s">
        <v>169</v>
      </c>
      <c r="E187" s="266"/>
      <c r="F187" s="250" t="s">
        <v>71</v>
      </c>
      <c r="G187" s="266"/>
      <c r="H187" s="250" t="s">
        <v>71</v>
      </c>
      <c r="I187" s="226"/>
      <c r="J187" s="200" t="s">
        <v>71</v>
      </c>
      <c r="L187" s="200" t="s">
        <v>71</v>
      </c>
      <c r="N187" s="200" t="s">
        <v>71</v>
      </c>
    </row>
    <row r="188" spans="1:15" outlineLevel="1">
      <c r="A188" s="224" t="s">
        <v>170</v>
      </c>
      <c r="C188" s="246" t="s">
        <v>171</v>
      </c>
      <c r="E188" s="266"/>
      <c r="F188" s="250" t="s">
        <v>71</v>
      </c>
      <c r="G188" s="266"/>
      <c r="H188" s="250" t="s">
        <v>71</v>
      </c>
      <c r="I188" s="226"/>
      <c r="J188" s="200" t="s">
        <v>71</v>
      </c>
      <c r="L188" s="200" t="s">
        <v>71</v>
      </c>
      <c r="N188" s="200" t="s">
        <v>19</v>
      </c>
    </row>
    <row r="189" spans="1:15" outlineLevel="1">
      <c r="A189" s="224" t="s">
        <v>459</v>
      </c>
      <c r="C189" s="246" t="s">
        <v>460</v>
      </c>
      <c r="E189" s="266"/>
      <c r="F189" s="250"/>
      <c r="G189" s="266"/>
      <c r="H189" s="250"/>
      <c r="I189" s="226"/>
      <c r="J189" s="200"/>
      <c r="L189" s="200"/>
      <c r="N189" s="200"/>
    </row>
    <row r="190" spans="1:15" outlineLevel="1">
      <c r="A190" s="224" t="s">
        <v>172</v>
      </c>
      <c r="C190" s="246" t="s">
        <v>173</v>
      </c>
      <c r="E190" s="266"/>
      <c r="F190" s="250" t="s">
        <v>19</v>
      </c>
      <c r="G190" s="266"/>
      <c r="H190" s="250" t="s">
        <v>19</v>
      </c>
      <c r="I190" s="226"/>
      <c r="J190" s="200" t="s">
        <v>19</v>
      </c>
      <c r="L190" s="200" t="s">
        <v>19</v>
      </c>
      <c r="N190" s="200" t="s">
        <v>71</v>
      </c>
    </row>
    <row r="191" spans="1:15" outlineLevel="1">
      <c r="A191" s="224" t="s">
        <v>174</v>
      </c>
      <c r="C191" s="246" t="s">
        <v>175</v>
      </c>
      <c r="E191" s="266"/>
      <c r="F191" s="250" t="s">
        <v>19</v>
      </c>
      <c r="G191" s="266"/>
      <c r="H191" s="250" t="s">
        <v>19</v>
      </c>
      <c r="I191" s="226"/>
      <c r="J191" s="200" t="s">
        <v>19</v>
      </c>
      <c r="L191" s="200" t="s">
        <v>19</v>
      </c>
      <c r="N191" s="200" t="s">
        <v>19</v>
      </c>
    </row>
    <row r="192" spans="1:15" outlineLevel="1">
      <c r="A192" s="224" t="s">
        <v>176</v>
      </c>
      <c r="C192" s="246" t="s">
        <v>177</v>
      </c>
      <c r="E192" s="266"/>
      <c r="F192" s="250" t="s">
        <v>19</v>
      </c>
      <c r="G192" s="266"/>
      <c r="H192" s="250" t="s">
        <v>19</v>
      </c>
      <c r="I192" s="226"/>
      <c r="J192" s="200" t="s">
        <v>19</v>
      </c>
      <c r="L192" s="200" t="s">
        <v>19</v>
      </c>
      <c r="N192" s="200" t="s">
        <v>71</v>
      </c>
    </row>
    <row r="193" spans="1:14" outlineLevel="1">
      <c r="A193" s="224" t="s">
        <v>440</v>
      </c>
      <c r="C193" s="246" t="s">
        <v>441</v>
      </c>
      <c r="E193" s="266"/>
      <c r="F193" s="250"/>
      <c r="G193" s="266"/>
      <c r="H193" s="250"/>
      <c r="I193" s="226"/>
      <c r="J193" s="200"/>
      <c r="L193" s="200"/>
      <c r="N193" s="200"/>
    </row>
    <row r="194" spans="1:14" outlineLevel="1">
      <c r="A194" s="224" t="s">
        <v>442</v>
      </c>
      <c r="C194" s="246" t="s">
        <v>443</v>
      </c>
      <c r="E194" s="266"/>
      <c r="F194" s="250"/>
      <c r="G194" s="266"/>
      <c r="H194" s="250"/>
      <c r="I194" s="226"/>
      <c r="J194" s="200"/>
      <c r="L194" s="200"/>
      <c r="N194" s="200"/>
    </row>
    <row r="195" spans="1:14" outlineLevel="1">
      <c r="A195" s="224" t="s">
        <v>539</v>
      </c>
      <c r="C195" s="246" t="s">
        <v>540</v>
      </c>
      <c r="E195" s="266"/>
      <c r="F195" s="262"/>
      <c r="G195" s="266"/>
      <c r="H195" s="262"/>
      <c r="I195" s="226"/>
      <c r="J195" s="231"/>
      <c r="L195" s="231"/>
      <c r="N195" s="231"/>
    </row>
    <row r="196" spans="1:14" outlineLevel="1">
      <c r="A196" s="224" t="s">
        <v>444</v>
      </c>
      <c r="C196" s="246" t="s">
        <v>445</v>
      </c>
      <c r="E196" s="266"/>
      <c r="F196" s="261"/>
      <c r="G196" s="266"/>
      <c r="H196" s="261"/>
      <c r="I196" s="226"/>
      <c r="J196" s="200"/>
      <c r="L196" s="200"/>
      <c r="N196" s="200" t="s">
        <v>492</v>
      </c>
    </row>
    <row r="197" spans="1:14" outlineLevel="1">
      <c r="A197" s="224"/>
      <c r="C197" s="246"/>
      <c r="E197" s="266"/>
      <c r="F197" s="260"/>
      <c r="G197" s="266"/>
      <c r="H197" s="260"/>
      <c r="I197" s="226"/>
    </row>
    <row r="198" spans="1:14" outlineLevel="1">
      <c r="A198" s="224" t="s">
        <v>178</v>
      </c>
      <c r="C198" s="228" t="s">
        <v>197</v>
      </c>
      <c r="D198" s="228"/>
      <c r="E198" s="260"/>
      <c r="F198" s="250" t="s">
        <v>71</v>
      </c>
      <c r="G198" s="260"/>
      <c r="H198" s="250" t="s">
        <v>71</v>
      </c>
      <c r="J198" s="200" t="s">
        <v>71</v>
      </c>
      <c r="L198" s="200" t="s">
        <v>71</v>
      </c>
      <c r="N198" s="200" t="s">
        <v>19</v>
      </c>
    </row>
    <row r="199" spans="1:14" outlineLevel="1">
      <c r="A199" s="224" t="s">
        <v>36</v>
      </c>
      <c r="C199" s="247" t="s">
        <v>143</v>
      </c>
      <c r="D199" s="247"/>
      <c r="E199" s="268"/>
      <c r="F199" s="263"/>
      <c r="G199" s="268"/>
      <c r="H199" s="263"/>
      <c r="I199" s="247"/>
      <c r="J199" s="248"/>
      <c r="L199" s="248"/>
      <c r="N199" s="248"/>
    </row>
    <row r="200" spans="1:14" outlineLevel="1">
      <c r="A200" s="224" t="s">
        <v>180</v>
      </c>
      <c r="C200" s="228" t="s">
        <v>181</v>
      </c>
      <c r="D200" s="228"/>
      <c r="E200" s="260"/>
      <c r="F200" s="250" t="s">
        <v>71</v>
      </c>
      <c r="G200" s="260"/>
      <c r="H200" s="250" t="s">
        <v>71</v>
      </c>
      <c r="J200" s="200" t="s">
        <v>71</v>
      </c>
      <c r="L200" s="200" t="s">
        <v>71</v>
      </c>
      <c r="N200" s="200" t="s">
        <v>71</v>
      </c>
    </row>
    <row r="201" spans="1:14" outlineLevel="1">
      <c r="A201" s="224" t="s">
        <v>182</v>
      </c>
      <c r="C201" s="228" t="s">
        <v>183</v>
      </c>
      <c r="D201" s="228"/>
      <c r="E201" s="260"/>
      <c r="F201" s="250" t="s">
        <v>71</v>
      </c>
      <c r="G201" s="260"/>
      <c r="H201" s="250" t="s">
        <v>71</v>
      </c>
      <c r="J201" s="200" t="s">
        <v>71</v>
      </c>
      <c r="L201" s="200" t="s">
        <v>71</v>
      </c>
      <c r="N201" s="200" t="s">
        <v>71</v>
      </c>
    </row>
    <row r="202" spans="1:14" outlineLevel="1">
      <c r="A202" s="224" t="s">
        <v>184</v>
      </c>
      <c r="C202" s="228" t="s">
        <v>185</v>
      </c>
      <c r="D202" s="228"/>
      <c r="E202" s="260"/>
      <c r="F202" s="250" t="s">
        <v>71</v>
      </c>
      <c r="G202" s="260"/>
      <c r="H202" s="250" t="s">
        <v>71</v>
      </c>
      <c r="J202" s="200" t="s">
        <v>71</v>
      </c>
      <c r="L202" s="200" t="s">
        <v>71</v>
      </c>
      <c r="N202" s="200" t="s">
        <v>19</v>
      </c>
    </row>
    <row r="203" spans="1:14" collapsed="1">
      <c r="A203" s="224" t="s">
        <v>36</v>
      </c>
      <c r="C203" s="227" t="s">
        <v>186</v>
      </c>
      <c r="D203" s="234"/>
      <c r="E203" s="260"/>
      <c r="F203" s="260"/>
      <c r="G203" s="260"/>
      <c r="H203" s="260"/>
    </row>
    <row r="204" spans="1:14" hidden="1" outlineLevel="1">
      <c r="A204" s="224" t="s">
        <v>187</v>
      </c>
      <c r="C204" s="203" t="s">
        <v>188</v>
      </c>
      <c r="E204" s="266"/>
      <c r="F204" s="259"/>
      <c r="G204" s="266"/>
      <c r="H204" s="259"/>
      <c r="I204" s="226"/>
      <c r="J204" s="219"/>
      <c r="L204" s="219"/>
      <c r="N204" s="219"/>
    </row>
    <row r="205" spans="1:14" hidden="1" outlineLevel="1">
      <c r="A205" s="224" t="s">
        <v>189</v>
      </c>
      <c r="C205" s="203" t="s">
        <v>190</v>
      </c>
      <c r="E205" s="266"/>
      <c r="F205" s="259"/>
      <c r="G205" s="266"/>
      <c r="H205" s="259"/>
      <c r="I205" s="226"/>
      <c r="J205" s="219"/>
      <c r="L205" s="219"/>
      <c r="N205" s="219"/>
    </row>
    <row r="206" spans="1:14" hidden="1" outlineLevel="1">
      <c r="A206" s="224" t="s">
        <v>191</v>
      </c>
      <c r="C206" s="203" t="s">
        <v>192</v>
      </c>
      <c r="E206" s="266"/>
      <c r="F206" s="259"/>
      <c r="G206" s="266"/>
      <c r="H206" s="259"/>
      <c r="I206" s="226"/>
      <c r="J206" s="219"/>
      <c r="L206" s="219"/>
      <c r="N206" s="219"/>
    </row>
    <row r="208" spans="1:14">
      <c r="C208" s="249" t="s">
        <v>198</v>
      </c>
    </row>
    <row r="209" spans="3:3">
      <c r="C209" s="249" t="s">
        <v>199</v>
      </c>
    </row>
  </sheetData>
  <sheetProtection formatCells="0" autoFilter="0"/>
  <dataValidations count="7">
    <dataValidation type="list" allowBlank="1" showInputMessage="1" showErrorMessage="1" sqref="C66" xr:uid="{85E9010E-89B6-4B32-A446-7B039CF65DA2}">
      <formula1>"By Table Type, By Table"</formula1>
    </dataValidation>
    <dataValidation type="list" allowBlank="1" showInputMessage="1" showErrorMessage="1" sqref="D22:D23" xr:uid="{C45EF15D-2EA1-4132-8CE1-9AFE56D38545}">
      <formula1>"Off,Process,ProcessSilently"</formula1>
    </dataValidation>
    <dataValidation type="list" allowBlank="1" showInputMessage="1" showErrorMessage="1" sqref="D60" xr:uid="{A352F7A6-3DC1-439D-AF8D-EC92FBD95DE7}">
      <formula1>"Off,OnManualRefreshOnly,OnOpenOnly,OnManualRefreshAndOpen"</formula1>
    </dataValidation>
    <dataValidation type="list" allowBlank="1" showInputMessage="1" showErrorMessage="1" sqref="J91 J159 L91 L159 N91 N159 H159 F159 F91 H91" xr:uid="{3F3B076F-E23E-4657-AD3F-0CC4408ACA69}">
      <formula1>"Insert,InsertRange"</formula1>
    </dataValidation>
    <dataValidation type="list" allowBlank="1" showInputMessage="1" showErrorMessage="1" sqref="J39 L39 N39 F39 H39" xr:uid="{2FF551FE-8497-408E-B8B4-B8A81258C4E5}">
      <formula1>"Visible,Hidden"</formula1>
    </dataValidation>
    <dataValidation type="list" allowBlank="1" showInputMessage="1" showErrorMessage="1" sqref="D28 D30 D32:D34 D58:D59 D61 D18:D21 N200:N202 J8:J10 J13 J16 J44:J45 J47 J56 J62:J63 J74 J85 J92:J94 J119:J124 J126 J130 J132:J134 J142 J153 J160:J162 J187:J192 J194 J198 J200:J202 L8:L10 L13 L16 L44:L45 L47 L56 L62:L63 L74 L85 L92:L94 L119:L124 L126 L130 L132:L134 L142 L153 L160:L162 L187:L192 L194 L198 L200:L202 N8:N10 N13 N16 N44:N45 N47 N56 N62:N63 N74 N85 N92:N94 N119:N124 N126 N130 N132:N134 N142 N153 N160:N162 N187:N192 N194 N198 H13 H16 H44:H45 H47 H56 H62:H63 H85 D24:D25 H92:H94 H119:H124 H126 H130 H132:H134 H8:H10 H153 H160:H162 H187:H192 H194 H198 H74 H200:H202 F200:F202 F74 F198 F194 F187:F192 F160:F162 F153 F8:F10 F132:F134 F130 F126 F119:F124 F92:F94 F85 F62:F63 F56 F47 F44:F45 F16 F13 F142 H142 F40:F41 H40:H41 J40:J41 L40:L41 N40:N41" xr:uid="{7AFB31A6-7576-4226-B754-223702E3D1FC}">
      <formula1>"Off,On"</formula1>
    </dataValidation>
    <dataValidation type="list" allowBlank="1" showInputMessage="1" showErrorMessage="1" sqref="C67:C70" xr:uid="{E7B30EB1-DC27-4CB2-B8A1-9A92C41FB8F3}">
      <formula1>"By TableType, By Table"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X47"/>
  <sheetViews>
    <sheetView showGridLines="0" topLeftCell="E8" zoomScaleNormal="100" workbookViewId="0">
      <pane xSplit="4" ySplit="5" topLeftCell="N33" activePane="bottomRight" state="frozen"/>
      <selection activeCell="E8" sqref="E8"/>
      <selection pane="topRight" activeCell="I8" sqref="I8"/>
      <selection pane="bottomLeft" activeCell="E13" sqref="E13"/>
      <selection pane="bottomRight" activeCell="Q42" sqref="Q42"/>
    </sheetView>
  </sheetViews>
  <sheetFormatPr defaultColWidth="9" defaultRowHeight="15"/>
  <cols>
    <col min="1" max="4" width="9" style="3"/>
    <col min="5" max="5" width="1.59765625" style="5" customWidth="1"/>
    <col min="6" max="7" width="2.19921875" style="3" customWidth="1"/>
    <col min="8" max="8" width="29.19921875" style="4" customWidth="1"/>
    <col min="9" max="9" width="28.19921875" style="3" customWidth="1"/>
    <col min="10" max="10" width="9.09765625" style="3" customWidth="1"/>
    <col min="11" max="11" width="15" style="3" bestFit="1" customWidth="1"/>
    <col min="12" max="12" width="10.796875" style="3" bestFit="1" customWidth="1"/>
    <col min="13" max="13" width="12" style="3" bestFit="1" customWidth="1"/>
    <col min="14" max="14" width="9.5" style="3" bestFit="1" customWidth="1"/>
    <col min="15" max="15" width="12.796875" style="3" bestFit="1" customWidth="1"/>
    <col min="16" max="16" width="23.09765625" style="3" bestFit="1" customWidth="1"/>
    <col min="17" max="17" width="10.296875" style="3" bestFit="1" customWidth="1"/>
    <col min="18" max="18" width="11.3984375" style="3" bestFit="1" customWidth="1"/>
    <col min="19" max="19" width="14.59765625" style="3" bestFit="1" customWidth="1"/>
    <col min="20" max="20" width="10.59765625" style="3" bestFit="1" customWidth="1"/>
    <col min="21" max="21" width="12.796875" style="3" bestFit="1" customWidth="1"/>
    <col min="22" max="22" width="17.296875" style="3" bestFit="1" customWidth="1"/>
    <col min="23" max="23" width="11.8984375" style="3" bestFit="1" customWidth="1"/>
    <col min="24" max="24" width="15" style="3" bestFit="1" customWidth="1"/>
    <col min="25" max="28" width="9.09765625" style="3" customWidth="1"/>
    <col min="29" max="16384" width="9" style="3"/>
  </cols>
  <sheetData>
    <row r="1" spans="1:10">
      <c r="E1" s="3"/>
    </row>
    <row r="2" spans="1:10">
      <c r="E2" s="3"/>
    </row>
    <row r="3" spans="1:10">
      <c r="E3" s="3"/>
    </row>
    <row r="4" spans="1:10">
      <c r="E4" s="3"/>
    </row>
    <row r="5" spans="1:10">
      <c r="E5" s="3"/>
    </row>
    <row r="6" spans="1:10">
      <c r="E6" s="3"/>
      <c r="H6" s="4" t="s">
        <v>2</v>
      </c>
      <c r="I6" s="3" t="str">
        <f>ADDRESS(ROW(E8),COLUMN(E8),4)&amp;":"&amp;ADDRESS(ROW(I13),COLUMN(I13),4)</f>
        <v>E8:I13</v>
      </c>
    </row>
    <row r="7" spans="1:10">
      <c r="E7" s="3"/>
    </row>
    <row r="8" spans="1:10" s="5" customFormat="1" ht="7.5" customHeight="1">
      <c r="A8" s="3"/>
      <c r="B8" s="3"/>
      <c r="C8" s="3"/>
      <c r="D8" s="3"/>
      <c r="H8" s="6"/>
    </row>
    <row r="9" spans="1:10" s="7" customFormat="1" ht="34.5" customHeight="1">
      <c r="A9" s="3"/>
      <c r="B9" s="3"/>
      <c r="C9" s="3"/>
      <c r="D9" s="3"/>
      <c r="E9" s="5"/>
      <c r="H9" s="8"/>
    </row>
    <row r="10" spans="1:10" s="7" customFormat="1" ht="16.5" customHeight="1">
      <c r="A10" s="3"/>
      <c r="B10" s="3"/>
      <c r="C10" s="3"/>
      <c r="D10" s="3"/>
      <c r="E10" s="5"/>
      <c r="H10" s="8"/>
    </row>
    <row r="11" spans="1:10" s="7" customFormat="1" ht="16.5" customHeight="1">
      <c r="A11" s="3"/>
      <c r="B11" s="3"/>
      <c r="C11" s="3"/>
      <c r="D11" s="3"/>
      <c r="E11" s="5"/>
      <c r="H11" s="9" t="s">
        <v>200</v>
      </c>
      <c r="I11" s="10"/>
      <c r="J11" s="10"/>
    </row>
    <row r="12" spans="1:10" s="7" customFormat="1" ht="17.399999999999999" customHeight="1" thickBot="1">
      <c r="A12" s="3"/>
      <c r="B12" s="3"/>
      <c r="C12" s="3"/>
      <c r="D12" s="3"/>
      <c r="E12" s="5"/>
      <c r="H12" s="11" t="s">
        <v>3</v>
      </c>
      <c r="I12" s="12" t="s">
        <v>4</v>
      </c>
    </row>
    <row r="13" spans="1:10" s="13" customFormat="1" ht="7.5" customHeight="1">
      <c r="E13" s="14"/>
      <c r="H13" s="15"/>
    </row>
    <row r="15" spans="1:10">
      <c r="G15" s="16" t="s">
        <v>5</v>
      </c>
      <c r="H15" s="17"/>
    </row>
    <row r="16" spans="1:10">
      <c r="H16" s="3"/>
    </row>
    <row r="17" spans="7:10">
      <c r="H17" s="3" t="s">
        <v>201</v>
      </c>
      <c r="I17" s="21">
        <f>_xll.GetPeriod("System")</f>
        <v>8</v>
      </c>
      <c r="J17" s="18"/>
    </row>
    <row r="18" spans="7:10">
      <c r="H18" s="4" t="s">
        <v>203</v>
      </c>
      <c r="I18" s="21">
        <f>_xll.GetPeriod("SystemYear")</f>
        <v>2020</v>
      </c>
    </row>
    <row r="19" spans="7:10">
      <c r="H19" s="4" t="s">
        <v>205</v>
      </c>
      <c r="I19" s="21" t="str">
        <f>_xll.GetData("Period.Month", "Code="&amp;$I$17)</f>
        <v>February</v>
      </c>
    </row>
    <row r="20" spans="7:10">
      <c r="H20" s="4" t="s">
        <v>206</v>
      </c>
      <c r="I20" s="21" t="str">
        <f>_xll.GetData("Period.CY_Month", "Code="&amp;$I$17)</f>
        <v>Feb-2020</v>
      </c>
    </row>
    <row r="21" spans="7:10">
      <c r="H21" s="4" t="s">
        <v>204</v>
      </c>
      <c r="I21" s="21" t="str">
        <f>_xll.GetData("SuiteVariables.Parameter", "Suite_INFO = 'ORGNAME'",,"ORGNAME")</f>
        <v>KHA Health</v>
      </c>
    </row>
    <row r="22" spans="7:10">
      <c r="H22" s="4" t="s">
        <v>202</v>
      </c>
      <c r="I22" s="21" t="str">
        <f>"Period Ending "&amp;I19&amp;" "&amp;I18</f>
        <v>Period Ending February 2020</v>
      </c>
    </row>
    <row r="25" spans="7:10">
      <c r="G25" s="16" t="s">
        <v>207</v>
      </c>
      <c r="H25" s="17"/>
    </row>
    <row r="26" spans="7:10">
      <c r="J26" s="18"/>
    </row>
    <row r="27" spans="7:10" ht="16.8">
      <c r="H27" s="4" t="s">
        <v>323</v>
      </c>
      <c r="I27" s="22" t="str">
        <f>"ACT"&amp;I18</f>
        <v>ACT2020</v>
      </c>
    </row>
    <row r="28" spans="7:10" ht="16.8">
      <c r="H28" s="4" t="s">
        <v>322</v>
      </c>
      <c r="I28" s="22" t="str">
        <f>"CYF"&amp;$I$18</f>
        <v>CYF2020</v>
      </c>
    </row>
    <row r="29" spans="7:10" ht="16.8">
      <c r="H29" s="4" t="s">
        <v>325</v>
      </c>
      <c r="I29" s="22" t="str">
        <f>"BUD"&amp;$I$18</f>
        <v>BUD2020</v>
      </c>
    </row>
    <row r="31" spans="7:10" ht="16.8">
      <c r="H31" s="135"/>
      <c r="I31" s="136"/>
    </row>
    <row r="40" spans="5:24" ht="16.8">
      <c r="E40" s="137"/>
      <c r="H40" s="38"/>
      <c r="I40" s="38"/>
      <c r="J40" s="138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5:24" ht="16.8">
      <c r="E41" s="137"/>
      <c r="H41" s="38"/>
      <c r="I41" s="38"/>
      <c r="J41" s="140"/>
      <c r="K41" s="141" t="s">
        <v>471</v>
      </c>
      <c r="L41" s="141" t="s">
        <v>472</v>
      </c>
      <c r="M41" s="141" t="s">
        <v>473</v>
      </c>
      <c r="N41" s="141" t="s">
        <v>474</v>
      </c>
      <c r="O41" s="141" t="s">
        <v>475</v>
      </c>
      <c r="P41" s="141" t="s">
        <v>476</v>
      </c>
      <c r="Q41" s="141" t="s">
        <v>477</v>
      </c>
      <c r="R41" s="141" t="s">
        <v>478</v>
      </c>
      <c r="S41" s="141" t="s">
        <v>479</v>
      </c>
      <c r="T41" s="141" t="s">
        <v>480</v>
      </c>
      <c r="U41" s="141" t="s">
        <v>481</v>
      </c>
      <c r="V41" s="141" t="s">
        <v>482</v>
      </c>
      <c r="W41" s="141" t="s">
        <v>483</v>
      </c>
      <c r="X41" s="141" t="s">
        <v>484</v>
      </c>
    </row>
    <row r="42" spans="5:24" ht="16.8">
      <c r="E42" s="137"/>
      <c r="H42" s="142" t="s">
        <v>485</v>
      </c>
      <c r="I42" s="143" t="str">
        <f>IF($O42="","","Dept.Entity="&amp;$O42)</f>
        <v/>
      </c>
      <c r="J42" s="140"/>
      <c r="K42" s="143" t="s">
        <v>486</v>
      </c>
      <c r="L42" s="144" t="s">
        <v>487</v>
      </c>
      <c r="M42" s="144" t="s">
        <v>488</v>
      </c>
      <c r="N42" s="145" t="b">
        <v>1</v>
      </c>
      <c r="O42" s="146"/>
      <c r="P42" s="144" t="b">
        <v>1</v>
      </c>
      <c r="Q42" s="144" t="s">
        <v>489</v>
      </c>
      <c r="R42" s="144"/>
      <c r="S42" s="144"/>
      <c r="T42" s="144"/>
      <c r="U42" s="144" t="s">
        <v>490</v>
      </c>
      <c r="V42" s="144" t="s">
        <v>3</v>
      </c>
      <c r="W42" s="144"/>
      <c r="X42" s="144" t="s">
        <v>491</v>
      </c>
    </row>
    <row r="43" spans="5:24" ht="16.8">
      <c r="E43" s="137"/>
      <c r="H43" s="38"/>
      <c r="I43" s="38"/>
      <c r="J43" s="140"/>
      <c r="K43" s="143"/>
      <c r="L43" s="143"/>
      <c r="M43" s="143"/>
      <c r="N43" s="145"/>
      <c r="O43" s="146"/>
      <c r="P43" s="144"/>
      <c r="Q43" s="143"/>
      <c r="R43" s="143"/>
      <c r="S43" s="143"/>
      <c r="T43" s="143"/>
      <c r="U43" s="143"/>
      <c r="V43" s="143"/>
      <c r="W43" s="143"/>
      <c r="X43" s="143"/>
    </row>
    <row r="44" spans="5:24" ht="16.8">
      <c r="E44" s="137"/>
      <c r="H44" s="38"/>
      <c r="I44" s="143" t="str">
        <f>IF($O44=0,"","Dept.Entity="&amp;$O44)</f>
        <v/>
      </c>
      <c r="J44" s="140"/>
      <c r="K44" s="143"/>
      <c r="L44" s="143"/>
      <c r="M44" s="143"/>
      <c r="N44" s="143"/>
      <c r="O44" s="146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5:24" ht="16.8">
      <c r="E45" s="137"/>
      <c r="H45" s="38"/>
      <c r="I45" s="38"/>
      <c r="J45" s="140"/>
      <c r="K45" s="143"/>
      <c r="L45" s="143"/>
      <c r="M45" s="143"/>
      <c r="N45" s="143"/>
      <c r="O45" s="146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5:24" ht="16.8">
      <c r="E46" s="137"/>
      <c r="H46" s="38"/>
      <c r="I46" s="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</row>
    <row r="47" spans="5:24">
      <c r="E47" s="137"/>
    </row>
  </sheetData>
  <sheetProtection formatCells="0" autoFilter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G42"/>
  <sheetViews>
    <sheetView showGridLines="0" workbookViewId="0"/>
  </sheetViews>
  <sheetFormatPr defaultColWidth="14.59765625" defaultRowHeight="16.8"/>
  <cols>
    <col min="1" max="1" width="3.19921875" style="36" customWidth="1"/>
    <col min="2" max="2" width="50" style="36" customWidth="1"/>
    <col min="3" max="7" width="14.59765625" style="36"/>
  </cols>
  <sheetData>
    <row r="2" spans="1:7" ht="54.75" customHeight="1">
      <c r="B2" s="91" t="s">
        <v>381</v>
      </c>
      <c r="C2" s="91"/>
      <c r="D2" s="91"/>
      <c r="E2" s="91"/>
      <c r="F2" s="91"/>
      <c r="G2" s="91"/>
    </row>
    <row r="3" spans="1:7">
      <c r="B3" s="39"/>
      <c r="C3" s="37"/>
      <c r="D3" s="37"/>
      <c r="E3" s="37"/>
      <c r="F3" s="37"/>
      <c r="G3" s="37"/>
    </row>
    <row r="4" spans="1:7" ht="19.2">
      <c r="B4" s="134" t="s">
        <v>0</v>
      </c>
      <c r="C4" s="134"/>
      <c r="D4" s="134"/>
      <c r="E4" s="134"/>
      <c r="F4" s="134"/>
      <c r="G4" s="134"/>
    </row>
    <row r="5" spans="1:7">
      <c r="B5" s="133" t="s">
        <v>213</v>
      </c>
      <c r="C5" s="95"/>
      <c r="D5" s="95"/>
      <c r="E5" s="37"/>
      <c r="F5" s="37"/>
      <c r="G5" s="37"/>
    </row>
    <row r="6" spans="1:7">
      <c r="B6" s="133" t="s">
        <v>214</v>
      </c>
      <c r="C6" s="95"/>
      <c r="D6" s="95"/>
      <c r="E6" s="37"/>
      <c r="F6" s="37"/>
      <c r="G6" s="37"/>
    </row>
    <row r="7" spans="1:7">
      <c r="B7" s="1"/>
      <c r="C7" s="1"/>
      <c r="D7" s="1"/>
      <c r="E7" s="2"/>
      <c r="F7" s="2"/>
      <c r="G7" s="2"/>
    </row>
    <row r="8" spans="1:7" ht="19.2">
      <c r="B8" s="134" t="s">
        <v>1</v>
      </c>
      <c r="C8" s="134"/>
      <c r="D8" s="134"/>
      <c r="E8" s="134"/>
      <c r="F8" s="134"/>
      <c r="G8" s="134"/>
    </row>
    <row r="9" spans="1:7">
      <c r="B9" s="133" t="s">
        <v>383</v>
      </c>
      <c r="C9" s="95"/>
      <c r="D9" s="95"/>
      <c r="E9" s="1"/>
      <c r="F9" s="37"/>
      <c r="G9" s="37"/>
    </row>
    <row r="10" spans="1:7">
      <c r="A10" s="41"/>
      <c r="B10" s="133"/>
      <c r="C10" s="1"/>
      <c r="D10" s="1"/>
      <c r="E10" s="1"/>
      <c r="F10" s="37"/>
      <c r="G10" s="37"/>
    </row>
    <row r="11" spans="1:7">
      <c r="A11" s="41"/>
      <c r="B11" s="133" t="s">
        <v>419</v>
      </c>
      <c r="C11" s="115"/>
      <c r="D11" s="115"/>
      <c r="E11" s="1"/>
      <c r="F11" s="37"/>
      <c r="G11" s="37"/>
    </row>
    <row r="12" spans="1:7">
      <c r="A12" s="41"/>
      <c r="B12" s="133" t="s">
        <v>420</v>
      </c>
      <c r="C12" s="1"/>
      <c r="D12" s="1"/>
      <c r="E12" s="1"/>
      <c r="F12" s="37"/>
      <c r="G12" s="37"/>
    </row>
    <row r="13" spans="1:7">
      <c r="A13" s="41"/>
      <c r="B13" s="133" t="s">
        <v>421</v>
      </c>
      <c r="C13" s="1"/>
      <c r="D13" s="1"/>
      <c r="E13" s="1"/>
      <c r="F13" s="37"/>
      <c r="G13" s="37"/>
    </row>
    <row r="14" spans="1:7">
      <c r="A14" s="41"/>
      <c r="B14" s="133" t="s">
        <v>422</v>
      </c>
      <c r="C14" s="1"/>
      <c r="D14" s="1"/>
      <c r="E14" s="1"/>
      <c r="F14" s="37"/>
      <c r="G14" s="37"/>
    </row>
    <row r="15" spans="1:7">
      <c r="A15" s="41"/>
      <c r="B15" s="133"/>
      <c r="C15" s="1"/>
      <c r="D15" s="1"/>
      <c r="E15" s="1"/>
      <c r="F15" s="37"/>
      <c r="G15" s="37"/>
    </row>
    <row r="16" spans="1:7">
      <c r="A16" s="42"/>
      <c r="B16" s="133" t="s">
        <v>382</v>
      </c>
      <c r="C16" s="1"/>
      <c r="D16" s="1"/>
      <c r="E16" s="1"/>
      <c r="F16" s="37"/>
      <c r="G16" s="37"/>
    </row>
    <row r="17" spans="1:7">
      <c r="A17" s="42"/>
      <c r="B17" s="133" t="s">
        <v>418</v>
      </c>
      <c r="C17" s="1"/>
      <c r="D17" s="1"/>
      <c r="E17" s="1"/>
      <c r="F17" s="37"/>
      <c r="G17" s="37"/>
    </row>
    <row r="18" spans="1:7" s="38" customFormat="1">
      <c r="A18" s="42"/>
      <c r="B18" s="133"/>
      <c r="C18" s="1"/>
      <c r="D18" s="1"/>
      <c r="E18" s="1"/>
      <c r="F18" s="37"/>
      <c r="G18" s="37"/>
    </row>
    <row r="19" spans="1:7" s="38" customFormat="1">
      <c r="A19" s="42"/>
      <c r="B19" s="133" t="s">
        <v>470</v>
      </c>
      <c r="C19" s="1"/>
      <c r="D19" s="1"/>
      <c r="E19" s="1"/>
      <c r="F19" s="37"/>
      <c r="G19" s="37"/>
    </row>
    <row r="20" spans="1:7">
      <c r="A20" s="42"/>
      <c r="B20" s="133"/>
      <c r="C20" s="1"/>
      <c r="D20" s="1"/>
      <c r="E20" s="1"/>
      <c r="F20" s="37"/>
      <c r="G20" s="37"/>
    </row>
    <row r="21" spans="1:7" s="38" customFormat="1">
      <c r="A21" s="42"/>
      <c r="B21" s="133" t="s">
        <v>469</v>
      </c>
      <c r="C21" s="1"/>
      <c r="D21" s="1"/>
      <c r="E21" s="1"/>
      <c r="F21" s="37"/>
      <c r="G21" s="37"/>
    </row>
    <row r="22" spans="1:7">
      <c r="A22" s="43"/>
      <c r="B22" s="40"/>
      <c r="C22" s="2"/>
      <c r="D22" s="37"/>
      <c r="E22" s="37"/>
      <c r="F22" s="37"/>
      <c r="G22" s="37"/>
    </row>
    <row r="23" spans="1:7">
      <c r="A23" s="42"/>
      <c r="B23" s="40"/>
      <c r="C23" s="2"/>
      <c r="D23" s="37"/>
      <c r="E23" s="37"/>
      <c r="F23" s="37"/>
      <c r="G23" s="37"/>
    </row>
    <row r="24" spans="1:7">
      <c r="A24" s="37"/>
      <c r="B24" s="40"/>
      <c r="C24" s="2"/>
      <c r="D24" s="37"/>
      <c r="E24" s="37"/>
      <c r="F24" s="37"/>
      <c r="G24" s="37"/>
    </row>
    <row r="25" spans="1:7">
      <c r="A25" s="41"/>
      <c r="B25" s="40"/>
      <c r="C25" s="2"/>
      <c r="D25" s="37"/>
      <c r="E25" s="37"/>
      <c r="F25" s="37"/>
      <c r="G25" s="37"/>
    </row>
    <row r="26" spans="1:7">
      <c r="A26" s="41"/>
      <c r="B26" s="40"/>
      <c r="C26" s="2"/>
      <c r="D26" s="37"/>
      <c r="E26" s="37"/>
      <c r="F26" s="37"/>
      <c r="G26" s="37"/>
    </row>
    <row r="27" spans="1:7">
      <c r="A27" s="41"/>
      <c r="B27" s="40"/>
      <c r="C27" s="2"/>
      <c r="D27" s="37"/>
      <c r="E27" s="37"/>
      <c r="F27" s="37"/>
      <c r="G27" s="37"/>
    </row>
    <row r="28" spans="1:7">
      <c r="A28" s="41"/>
      <c r="B28" s="40"/>
      <c r="C28" s="2"/>
      <c r="D28" s="37"/>
      <c r="E28" s="37"/>
      <c r="F28" s="37"/>
      <c r="G28" s="37"/>
    </row>
    <row r="29" spans="1:7">
      <c r="A29" s="37"/>
      <c r="B29" s="40"/>
      <c r="C29" s="2"/>
      <c r="D29" s="37"/>
      <c r="E29" s="37"/>
      <c r="F29" s="37"/>
      <c r="G29" s="37"/>
    </row>
    <row r="30" spans="1:7">
      <c r="A30" s="41"/>
      <c r="B30" s="40"/>
      <c r="C30" s="2"/>
      <c r="D30" s="37"/>
      <c r="E30" s="37"/>
      <c r="F30" s="37"/>
      <c r="G30" s="37"/>
    </row>
    <row r="31" spans="1:7">
      <c r="A31" s="41"/>
      <c r="B31" s="40"/>
      <c r="C31" s="2"/>
      <c r="D31" s="44"/>
      <c r="E31" s="37"/>
      <c r="F31" s="37"/>
      <c r="G31" s="37"/>
    </row>
    <row r="32" spans="1:7">
      <c r="A32" s="41"/>
      <c r="B32" s="40"/>
      <c r="C32" s="2"/>
      <c r="D32" s="44"/>
      <c r="E32" s="37"/>
      <c r="F32" s="37"/>
      <c r="G32" s="37"/>
    </row>
    <row r="33" spans="1:7">
      <c r="A33" s="41"/>
      <c r="B33" s="40"/>
      <c r="C33" s="2"/>
      <c r="D33" s="44"/>
      <c r="E33" s="37"/>
      <c r="F33" s="37"/>
      <c r="G33" s="37"/>
    </row>
    <row r="34" spans="1:7">
      <c r="A34" s="41"/>
      <c r="B34" s="39"/>
      <c r="C34" s="44"/>
      <c r="D34" s="44"/>
      <c r="E34" s="37"/>
      <c r="F34" s="37"/>
      <c r="G34" s="37"/>
    </row>
    <row r="35" spans="1:7">
      <c r="A35" s="41"/>
      <c r="B35" s="39"/>
      <c r="C35" s="44"/>
      <c r="D35" s="44"/>
      <c r="E35" s="37"/>
      <c r="F35" s="37"/>
      <c r="G35" s="37"/>
    </row>
    <row r="36" spans="1:7">
      <c r="A36" s="41"/>
      <c r="B36" s="45"/>
      <c r="C36" s="44"/>
      <c r="D36" s="44"/>
      <c r="E36" s="37"/>
      <c r="F36" s="37"/>
      <c r="G36" s="37"/>
    </row>
    <row r="37" spans="1:7">
      <c r="A37" s="41"/>
      <c r="B37" s="45"/>
      <c r="C37" s="37"/>
      <c r="D37" s="37"/>
      <c r="E37" s="37"/>
      <c r="F37" s="37"/>
      <c r="G37" s="37"/>
    </row>
    <row r="38" spans="1:7">
      <c r="B38" s="45"/>
    </row>
    <row r="39" spans="1:7">
      <c r="B39" s="45"/>
    </row>
    <row r="40" spans="1:7">
      <c r="B40" s="45"/>
    </row>
    <row r="41" spans="1:7">
      <c r="B41" s="45"/>
    </row>
    <row r="42" spans="1:7">
      <c r="B42" s="39"/>
    </row>
  </sheetData>
  <sheetProtection formatCells="0" autoFilter="0"/>
  <printOptions gridLinesSet="0"/>
  <pageMargins left="0.75" right="0.75" top="1" bottom="1" header="0.5" footer="0.5"/>
  <pageSetup orientation="portrait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3:AB72"/>
  <sheetViews>
    <sheetView showGridLines="0" showRowColHeaders="0" topLeftCell="D10" zoomScaleNormal="100" workbookViewId="0">
      <pane xSplit="1" ySplit="5" topLeftCell="E15" activePane="bottomRight" state="frozen"/>
      <selection activeCell="D10" sqref="D10"/>
      <selection pane="topRight" activeCell="E10" sqref="E10"/>
      <selection pane="bottomLeft" activeCell="D15" sqref="D15"/>
      <selection pane="bottomRight" activeCell="E12" sqref="E12"/>
    </sheetView>
  </sheetViews>
  <sheetFormatPr defaultRowHeight="13.8"/>
  <cols>
    <col min="1" max="1" width="9" style="23"/>
    <col min="2" max="2" width="13" style="23" customWidth="1"/>
    <col min="3" max="3" width="9" style="23"/>
    <col min="4" max="4" width="31.09765625" style="23" bestFit="1" customWidth="1"/>
    <col min="5" max="5" width="18.19921875" style="23" bestFit="1" customWidth="1"/>
    <col min="6" max="6" width="5.59765625" style="23" hidden="1" customWidth="1"/>
    <col min="7" max="7" width="18.19921875" style="87" customWidth="1"/>
    <col min="8" max="8" width="3.59765625" style="23" customWidth="1"/>
    <col min="9" max="9" width="24.09765625" style="87" customWidth="1"/>
    <col min="10" max="12" width="1.69921875" style="23" hidden="1" customWidth="1"/>
    <col min="13" max="13" width="46.8984375" style="23" hidden="1" customWidth="1"/>
    <col min="14" max="14" width="4.69921875" style="23" hidden="1" customWidth="1"/>
    <col min="15" max="15" width="29.296875" style="23" customWidth="1"/>
    <col min="16" max="16" width="3.8984375" style="23" hidden="1" customWidth="1"/>
    <col min="17" max="17" width="29.296875" style="23" customWidth="1"/>
    <col min="18" max="29" width="9" style="23"/>
    <col min="30" max="257" width="8" style="23"/>
    <col min="258" max="258" width="4.09765625" style="23" customWidth="1"/>
    <col min="259" max="259" width="8" style="23"/>
    <col min="260" max="260" width="39.3984375" style="23" bestFit="1" customWidth="1"/>
    <col min="261" max="262" width="5" style="23" customWidth="1"/>
    <col min="263" max="263" width="11.09765625" style="23" customWidth="1"/>
    <col min="264" max="264" width="3.19921875" style="23" customWidth="1"/>
    <col min="265" max="265" width="11.09765625" style="23" customWidth="1"/>
    <col min="266" max="268" width="4.09765625" style="23" customWidth="1"/>
    <col min="269" max="269" width="35.59765625" style="23" customWidth="1"/>
    <col min="270" max="270" width="24.3984375" style="23" customWidth="1"/>
    <col min="271" max="271" width="9.3984375" style="23" bestFit="1" customWidth="1"/>
    <col min="272" max="513" width="8" style="23"/>
    <col min="514" max="514" width="4.09765625" style="23" customWidth="1"/>
    <col min="515" max="515" width="8" style="23"/>
    <col min="516" max="516" width="39.3984375" style="23" bestFit="1" customWidth="1"/>
    <col min="517" max="518" width="5" style="23" customWidth="1"/>
    <col min="519" max="519" width="11.09765625" style="23" customWidth="1"/>
    <col min="520" max="520" width="3.19921875" style="23" customWidth="1"/>
    <col min="521" max="521" width="11.09765625" style="23" customWidth="1"/>
    <col min="522" max="524" width="4.09765625" style="23" customWidth="1"/>
    <col min="525" max="525" width="35.59765625" style="23" customWidth="1"/>
    <col min="526" max="526" width="24.3984375" style="23" customWidth="1"/>
    <col min="527" max="527" width="9.3984375" style="23" bestFit="1" customWidth="1"/>
    <col min="528" max="769" width="8" style="23"/>
    <col min="770" max="770" width="4.09765625" style="23" customWidth="1"/>
    <col min="771" max="771" width="8" style="23"/>
    <col min="772" max="772" width="39.3984375" style="23" bestFit="1" customWidth="1"/>
    <col min="773" max="774" width="5" style="23" customWidth="1"/>
    <col min="775" max="775" width="11.09765625" style="23" customWidth="1"/>
    <col min="776" max="776" width="3.19921875" style="23" customWidth="1"/>
    <col min="777" max="777" width="11.09765625" style="23" customWidth="1"/>
    <col min="778" max="780" width="4.09765625" style="23" customWidth="1"/>
    <col min="781" max="781" width="35.59765625" style="23" customWidth="1"/>
    <col min="782" max="782" width="24.3984375" style="23" customWidth="1"/>
    <col min="783" max="783" width="9.3984375" style="23" bestFit="1" customWidth="1"/>
    <col min="784" max="1025" width="9" style="23"/>
    <col min="1026" max="1026" width="4.09765625" style="23" customWidth="1"/>
    <col min="1027" max="1027" width="8" style="23"/>
    <col min="1028" max="1028" width="39.3984375" style="23" bestFit="1" customWidth="1"/>
    <col min="1029" max="1030" width="5" style="23" customWidth="1"/>
    <col min="1031" max="1031" width="11.09765625" style="23" customWidth="1"/>
    <col min="1032" max="1032" width="3.19921875" style="23" customWidth="1"/>
    <col min="1033" max="1033" width="11.09765625" style="23" customWidth="1"/>
    <col min="1034" max="1036" width="4.09765625" style="23" customWidth="1"/>
    <col min="1037" max="1037" width="35.59765625" style="23" customWidth="1"/>
    <col min="1038" max="1038" width="24.3984375" style="23" customWidth="1"/>
    <col min="1039" max="1039" width="9.3984375" style="23" bestFit="1" customWidth="1"/>
    <col min="1040" max="1281" width="8" style="23"/>
    <col min="1282" max="1282" width="4.09765625" style="23" customWidth="1"/>
    <col min="1283" max="1283" width="8" style="23"/>
    <col min="1284" max="1284" width="39.3984375" style="23" bestFit="1" customWidth="1"/>
    <col min="1285" max="1286" width="5" style="23" customWidth="1"/>
    <col min="1287" max="1287" width="11.09765625" style="23" customWidth="1"/>
    <col min="1288" max="1288" width="3.19921875" style="23" customWidth="1"/>
    <col min="1289" max="1289" width="11.09765625" style="23" customWidth="1"/>
    <col min="1290" max="1292" width="4.09765625" style="23" customWidth="1"/>
    <col min="1293" max="1293" width="35.59765625" style="23" customWidth="1"/>
    <col min="1294" max="1294" width="24.3984375" style="23" customWidth="1"/>
    <col min="1295" max="1295" width="9.3984375" style="23" bestFit="1" customWidth="1"/>
    <col min="1296" max="1537" width="8" style="23"/>
    <col min="1538" max="1538" width="4.09765625" style="23" customWidth="1"/>
    <col min="1539" max="1539" width="8" style="23"/>
    <col min="1540" max="1540" width="39.3984375" style="23" bestFit="1" customWidth="1"/>
    <col min="1541" max="1542" width="5" style="23" customWidth="1"/>
    <col min="1543" max="1543" width="11.09765625" style="23" customWidth="1"/>
    <col min="1544" max="1544" width="3.19921875" style="23" customWidth="1"/>
    <col min="1545" max="1545" width="11.09765625" style="23" customWidth="1"/>
    <col min="1546" max="1548" width="4.09765625" style="23" customWidth="1"/>
    <col min="1549" max="1549" width="35.59765625" style="23" customWidth="1"/>
    <col min="1550" max="1550" width="24.3984375" style="23" customWidth="1"/>
    <col min="1551" max="1551" width="9.3984375" style="23" bestFit="1" customWidth="1"/>
    <col min="1552" max="1793" width="8" style="23"/>
    <col min="1794" max="1794" width="4.09765625" style="23" customWidth="1"/>
    <col min="1795" max="1795" width="8" style="23"/>
    <col min="1796" max="1796" width="39.3984375" style="23" bestFit="1" customWidth="1"/>
    <col min="1797" max="1798" width="5" style="23" customWidth="1"/>
    <col min="1799" max="1799" width="11.09765625" style="23" customWidth="1"/>
    <col min="1800" max="1800" width="3.19921875" style="23" customWidth="1"/>
    <col min="1801" max="1801" width="11.09765625" style="23" customWidth="1"/>
    <col min="1802" max="1804" width="4.09765625" style="23" customWidth="1"/>
    <col min="1805" max="1805" width="35.59765625" style="23" customWidth="1"/>
    <col min="1806" max="1806" width="24.3984375" style="23" customWidth="1"/>
    <col min="1807" max="1807" width="9.3984375" style="23" bestFit="1" customWidth="1"/>
    <col min="1808" max="2049" width="9" style="23"/>
    <col min="2050" max="2050" width="4.09765625" style="23" customWidth="1"/>
    <col min="2051" max="2051" width="8" style="23"/>
    <col min="2052" max="2052" width="39.3984375" style="23" bestFit="1" customWidth="1"/>
    <col min="2053" max="2054" width="5" style="23" customWidth="1"/>
    <col min="2055" max="2055" width="11.09765625" style="23" customWidth="1"/>
    <col min="2056" max="2056" width="3.19921875" style="23" customWidth="1"/>
    <col min="2057" max="2057" width="11.09765625" style="23" customWidth="1"/>
    <col min="2058" max="2060" width="4.09765625" style="23" customWidth="1"/>
    <col min="2061" max="2061" width="35.59765625" style="23" customWidth="1"/>
    <col min="2062" max="2062" width="24.3984375" style="23" customWidth="1"/>
    <col min="2063" max="2063" width="9.3984375" style="23" bestFit="1" customWidth="1"/>
    <col min="2064" max="2305" width="8" style="23"/>
    <col min="2306" max="2306" width="4.09765625" style="23" customWidth="1"/>
    <col min="2307" max="2307" width="8" style="23"/>
    <col min="2308" max="2308" width="39.3984375" style="23" bestFit="1" customWidth="1"/>
    <col min="2309" max="2310" width="5" style="23" customWidth="1"/>
    <col min="2311" max="2311" width="11.09765625" style="23" customWidth="1"/>
    <col min="2312" max="2312" width="3.19921875" style="23" customWidth="1"/>
    <col min="2313" max="2313" width="11.09765625" style="23" customWidth="1"/>
    <col min="2314" max="2316" width="4.09765625" style="23" customWidth="1"/>
    <col min="2317" max="2317" width="35.59765625" style="23" customWidth="1"/>
    <col min="2318" max="2318" width="24.3984375" style="23" customWidth="1"/>
    <col min="2319" max="2319" width="9.3984375" style="23" bestFit="1" customWidth="1"/>
    <col min="2320" max="2561" width="8" style="23"/>
    <col min="2562" max="2562" width="4.09765625" style="23" customWidth="1"/>
    <col min="2563" max="2563" width="8" style="23"/>
    <col min="2564" max="2564" width="39.3984375" style="23" bestFit="1" customWidth="1"/>
    <col min="2565" max="2566" width="5" style="23" customWidth="1"/>
    <col min="2567" max="2567" width="11.09765625" style="23" customWidth="1"/>
    <col min="2568" max="2568" width="3.19921875" style="23" customWidth="1"/>
    <col min="2569" max="2569" width="11.09765625" style="23" customWidth="1"/>
    <col min="2570" max="2572" width="4.09765625" style="23" customWidth="1"/>
    <col min="2573" max="2573" width="35.59765625" style="23" customWidth="1"/>
    <col min="2574" max="2574" width="24.3984375" style="23" customWidth="1"/>
    <col min="2575" max="2575" width="9.3984375" style="23" bestFit="1" customWidth="1"/>
    <col min="2576" max="2817" width="8" style="23"/>
    <col min="2818" max="2818" width="4.09765625" style="23" customWidth="1"/>
    <col min="2819" max="2819" width="8" style="23"/>
    <col min="2820" max="2820" width="39.3984375" style="23" bestFit="1" customWidth="1"/>
    <col min="2821" max="2822" width="5" style="23" customWidth="1"/>
    <col min="2823" max="2823" width="11.09765625" style="23" customWidth="1"/>
    <col min="2824" max="2824" width="3.19921875" style="23" customWidth="1"/>
    <col min="2825" max="2825" width="11.09765625" style="23" customWidth="1"/>
    <col min="2826" max="2828" width="4.09765625" style="23" customWidth="1"/>
    <col min="2829" max="2829" width="35.59765625" style="23" customWidth="1"/>
    <col min="2830" max="2830" width="24.3984375" style="23" customWidth="1"/>
    <col min="2831" max="2831" width="9.3984375" style="23" bestFit="1" customWidth="1"/>
    <col min="2832" max="3073" width="9" style="23"/>
    <col min="3074" max="3074" width="4.09765625" style="23" customWidth="1"/>
    <col min="3075" max="3075" width="8" style="23"/>
    <col min="3076" max="3076" width="39.3984375" style="23" bestFit="1" customWidth="1"/>
    <col min="3077" max="3078" width="5" style="23" customWidth="1"/>
    <col min="3079" max="3079" width="11.09765625" style="23" customWidth="1"/>
    <col min="3080" max="3080" width="3.19921875" style="23" customWidth="1"/>
    <col min="3081" max="3081" width="11.09765625" style="23" customWidth="1"/>
    <col min="3082" max="3084" width="4.09765625" style="23" customWidth="1"/>
    <col min="3085" max="3085" width="35.59765625" style="23" customWidth="1"/>
    <col min="3086" max="3086" width="24.3984375" style="23" customWidth="1"/>
    <col min="3087" max="3087" width="9.3984375" style="23" bestFit="1" customWidth="1"/>
    <col min="3088" max="3329" width="8" style="23"/>
    <col min="3330" max="3330" width="4.09765625" style="23" customWidth="1"/>
    <col min="3331" max="3331" width="8" style="23"/>
    <col min="3332" max="3332" width="39.3984375" style="23" bestFit="1" customWidth="1"/>
    <col min="3333" max="3334" width="5" style="23" customWidth="1"/>
    <col min="3335" max="3335" width="11.09765625" style="23" customWidth="1"/>
    <col min="3336" max="3336" width="3.19921875" style="23" customWidth="1"/>
    <col min="3337" max="3337" width="11.09765625" style="23" customWidth="1"/>
    <col min="3338" max="3340" width="4.09765625" style="23" customWidth="1"/>
    <col min="3341" max="3341" width="35.59765625" style="23" customWidth="1"/>
    <col min="3342" max="3342" width="24.3984375" style="23" customWidth="1"/>
    <col min="3343" max="3343" width="9.3984375" style="23" bestFit="1" customWidth="1"/>
    <col min="3344" max="3585" width="8" style="23"/>
    <col min="3586" max="3586" width="4.09765625" style="23" customWidth="1"/>
    <col min="3587" max="3587" width="8" style="23"/>
    <col min="3588" max="3588" width="39.3984375" style="23" bestFit="1" customWidth="1"/>
    <col min="3589" max="3590" width="5" style="23" customWidth="1"/>
    <col min="3591" max="3591" width="11.09765625" style="23" customWidth="1"/>
    <col min="3592" max="3592" width="3.19921875" style="23" customWidth="1"/>
    <col min="3593" max="3593" width="11.09765625" style="23" customWidth="1"/>
    <col min="3594" max="3596" width="4.09765625" style="23" customWidth="1"/>
    <col min="3597" max="3597" width="35.59765625" style="23" customWidth="1"/>
    <col min="3598" max="3598" width="24.3984375" style="23" customWidth="1"/>
    <col min="3599" max="3599" width="9.3984375" style="23" bestFit="1" customWidth="1"/>
    <col min="3600" max="3841" width="8" style="23"/>
    <col min="3842" max="3842" width="4.09765625" style="23" customWidth="1"/>
    <col min="3843" max="3843" width="8" style="23"/>
    <col min="3844" max="3844" width="39.3984375" style="23" bestFit="1" customWidth="1"/>
    <col min="3845" max="3846" width="5" style="23" customWidth="1"/>
    <col min="3847" max="3847" width="11.09765625" style="23" customWidth="1"/>
    <col min="3848" max="3848" width="3.19921875" style="23" customWidth="1"/>
    <col min="3849" max="3849" width="11.09765625" style="23" customWidth="1"/>
    <col min="3850" max="3852" width="4.09765625" style="23" customWidth="1"/>
    <col min="3853" max="3853" width="35.59765625" style="23" customWidth="1"/>
    <col min="3854" max="3854" width="24.3984375" style="23" customWidth="1"/>
    <col min="3855" max="3855" width="9.3984375" style="23" bestFit="1" customWidth="1"/>
    <col min="3856" max="4097" width="9" style="23"/>
    <col min="4098" max="4098" width="4.09765625" style="23" customWidth="1"/>
    <col min="4099" max="4099" width="8" style="23"/>
    <col min="4100" max="4100" width="39.3984375" style="23" bestFit="1" customWidth="1"/>
    <col min="4101" max="4102" width="5" style="23" customWidth="1"/>
    <col min="4103" max="4103" width="11.09765625" style="23" customWidth="1"/>
    <col min="4104" max="4104" width="3.19921875" style="23" customWidth="1"/>
    <col min="4105" max="4105" width="11.09765625" style="23" customWidth="1"/>
    <col min="4106" max="4108" width="4.09765625" style="23" customWidth="1"/>
    <col min="4109" max="4109" width="35.59765625" style="23" customWidth="1"/>
    <col min="4110" max="4110" width="24.3984375" style="23" customWidth="1"/>
    <col min="4111" max="4111" width="9.3984375" style="23" bestFit="1" customWidth="1"/>
    <col min="4112" max="4353" width="8" style="23"/>
    <col min="4354" max="4354" width="4.09765625" style="23" customWidth="1"/>
    <col min="4355" max="4355" width="8" style="23"/>
    <col min="4356" max="4356" width="39.3984375" style="23" bestFit="1" customWidth="1"/>
    <col min="4357" max="4358" width="5" style="23" customWidth="1"/>
    <col min="4359" max="4359" width="11.09765625" style="23" customWidth="1"/>
    <col min="4360" max="4360" width="3.19921875" style="23" customWidth="1"/>
    <col min="4361" max="4361" width="11.09765625" style="23" customWidth="1"/>
    <col min="4362" max="4364" width="4.09765625" style="23" customWidth="1"/>
    <col min="4365" max="4365" width="35.59765625" style="23" customWidth="1"/>
    <col min="4366" max="4366" width="24.3984375" style="23" customWidth="1"/>
    <col min="4367" max="4367" width="9.3984375" style="23" bestFit="1" customWidth="1"/>
    <col min="4368" max="4609" width="8" style="23"/>
    <col min="4610" max="4610" width="4.09765625" style="23" customWidth="1"/>
    <col min="4611" max="4611" width="8" style="23"/>
    <col min="4612" max="4612" width="39.3984375" style="23" bestFit="1" customWidth="1"/>
    <col min="4613" max="4614" width="5" style="23" customWidth="1"/>
    <col min="4615" max="4615" width="11.09765625" style="23" customWidth="1"/>
    <col min="4616" max="4616" width="3.19921875" style="23" customWidth="1"/>
    <col min="4617" max="4617" width="11.09765625" style="23" customWidth="1"/>
    <col min="4618" max="4620" width="4.09765625" style="23" customWidth="1"/>
    <col min="4621" max="4621" width="35.59765625" style="23" customWidth="1"/>
    <col min="4622" max="4622" width="24.3984375" style="23" customWidth="1"/>
    <col min="4623" max="4623" width="9.3984375" style="23" bestFit="1" customWidth="1"/>
    <col min="4624" max="4865" width="8" style="23"/>
    <col min="4866" max="4866" width="4.09765625" style="23" customWidth="1"/>
    <col min="4867" max="4867" width="8" style="23"/>
    <col min="4868" max="4868" width="39.3984375" style="23" bestFit="1" customWidth="1"/>
    <col min="4869" max="4870" width="5" style="23" customWidth="1"/>
    <col min="4871" max="4871" width="11.09765625" style="23" customWidth="1"/>
    <col min="4872" max="4872" width="3.19921875" style="23" customWidth="1"/>
    <col min="4873" max="4873" width="11.09765625" style="23" customWidth="1"/>
    <col min="4874" max="4876" width="4.09765625" style="23" customWidth="1"/>
    <col min="4877" max="4877" width="35.59765625" style="23" customWidth="1"/>
    <col min="4878" max="4878" width="24.3984375" style="23" customWidth="1"/>
    <col min="4879" max="4879" width="9.3984375" style="23" bestFit="1" customWidth="1"/>
    <col min="4880" max="5121" width="9" style="23"/>
    <col min="5122" max="5122" width="4.09765625" style="23" customWidth="1"/>
    <col min="5123" max="5123" width="8" style="23"/>
    <col min="5124" max="5124" width="39.3984375" style="23" bestFit="1" customWidth="1"/>
    <col min="5125" max="5126" width="5" style="23" customWidth="1"/>
    <col min="5127" max="5127" width="11.09765625" style="23" customWidth="1"/>
    <col min="5128" max="5128" width="3.19921875" style="23" customWidth="1"/>
    <col min="5129" max="5129" width="11.09765625" style="23" customWidth="1"/>
    <col min="5130" max="5132" width="4.09765625" style="23" customWidth="1"/>
    <col min="5133" max="5133" width="35.59765625" style="23" customWidth="1"/>
    <col min="5134" max="5134" width="24.3984375" style="23" customWidth="1"/>
    <col min="5135" max="5135" width="9.3984375" style="23" bestFit="1" customWidth="1"/>
    <col min="5136" max="5377" width="8" style="23"/>
    <col min="5378" max="5378" width="4.09765625" style="23" customWidth="1"/>
    <col min="5379" max="5379" width="8" style="23"/>
    <col min="5380" max="5380" width="39.3984375" style="23" bestFit="1" customWidth="1"/>
    <col min="5381" max="5382" width="5" style="23" customWidth="1"/>
    <col min="5383" max="5383" width="11.09765625" style="23" customWidth="1"/>
    <col min="5384" max="5384" width="3.19921875" style="23" customWidth="1"/>
    <col min="5385" max="5385" width="11.09765625" style="23" customWidth="1"/>
    <col min="5386" max="5388" width="4.09765625" style="23" customWidth="1"/>
    <col min="5389" max="5389" width="35.59765625" style="23" customWidth="1"/>
    <col min="5390" max="5390" width="24.3984375" style="23" customWidth="1"/>
    <col min="5391" max="5391" width="9.3984375" style="23" bestFit="1" customWidth="1"/>
    <col min="5392" max="5633" width="8" style="23"/>
    <col min="5634" max="5634" width="4.09765625" style="23" customWidth="1"/>
    <col min="5635" max="5635" width="8" style="23"/>
    <col min="5636" max="5636" width="39.3984375" style="23" bestFit="1" customWidth="1"/>
    <col min="5637" max="5638" width="5" style="23" customWidth="1"/>
    <col min="5639" max="5639" width="11.09765625" style="23" customWidth="1"/>
    <col min="5640" max="5640" width="3.19921875" style="23" customWidth="1"/>
    <col min="5641" max="5641" width="11.09765625" style="23" customWidth="1"/>
    <col min="5642" max="5644" width="4.09765625" style="23" customWidth="1"/>
    <col min="5645" max="5645" width="35.59765625" style="23" customWidth="1"/>
    <col min="5646" max="5646" width="24.3984375" style="23" customWidth="1"/>
    <col min="5647" max="5647" width="9.3984375" style="23" bestFit="1" customWidth="1"/>
    <col min="5648" max="5889" width="8" style="23"/>
    <col min="5890" max="5890" width="4.09765625" style="23" customWidth="1"/>
    <col min="5891" max="5891" width="8" style="23"/>
    <col min="5892" max="5892" width="39.3984375" style="23" bestFit="1" customWidth="1"/>
    <col min="5893" max="5894" width="5" style="23" customWidth="1"/>
    <col min="5895" max="5895" width="11.09765625" style="23" customWidth="1"/>
    <col min="5896" max="5896" width="3.19921875" style="23" customWidth="1"/>
    <col min="5897" max="5897" width="11.09765625" style="23" customWidth="1"/>
    <col min="5898" max="5900" width="4.09765625" style="23" customWidth="1"/>
    <col min="5901" max="5901" width="35.59765625" style="23" customWidth="1"/>
    <col min="5902" max="5902" width="24.3984375" style="23" customWidth="1"/>
    <col min="5903" max="5903" width="9.3984375" style="23" bestFit="1" customWidth="1"/>
    <col min="5904" max="6145" width="9" style="23"/>
    <col min="6146" max="6146" width="4.09765625" style="23" customWidth="1"/>
    <col min="6147" max="6147" width="8" style="23"/>
    <col min="6148" max="6148" width="39.3984375" style="23" bestFit="1" customWidth="1"/>
    <col min="6149" max="6150" width="5" style="23" customWidth="1"/>
    <col min="6151" max="6151" width="11.09765625" style="23" customWidth="1"/>
    <col min="6152" max="6152" width="3.19921875" style="23" customWidth="1"/>
    <col min="6153" max="6153" width="11.09765625" style="23" customWidth="1"/>
    <col min="6154" max="6156" width="4.09765625" style="23" customWidth="1"/>
    <col min="6157" max="6157" width="35.59765625" style="23" customWidth="1"/>
    <col min="6158" max="6158" width="24.3984375" style="23" customWidth="1"/>
    <col min="6159" max="6159" width="9.3984375" style="23" bestFit="1" customWidth="1"/>
    <col min="6160" max="6401" width="8" style="23"/>
    <col min="6402" max="6402" width="4.09765625" style="23" customWidth="1"/>
    <col min="6403" max="6403" width="8" style="23"/>
    <col min="6404" max="6404" width="39.3984375" style="23" bestFit="1" customWidth="1"/>
    <col min="6405" max="6406" width="5" style="23" customWidth="1"/>
    <col min="6407" max="6407" width="11.09765625" style="23" customWidth="1"/>
    <col min="6408" max="6408" width="3.19921875" style="23" customWidth="1"/>
    <col min="6409" max="6409" width="11.09765625" style="23" customWidth="1"/>
    <col min="6410" max="6412" width="4.09765625" style="23" customWidth="1"/>
    <col min="6413" max="6413" width="35.59765625" style="23" customWidth="1"/>
    <col min="6414" max="6414" width="24.3984375" style="23" customWidth="1"/>
    <col min="6415" max="6415" width="9.3984375" style="23" bestFit="1" customWidth="1"/>
    <col min="6416" max="6657" width="8" style="23"/>
    <col min="6658" max="6658" width="4.09765625" style="23" customWidth="1"/>
    <col min="6659" max="6659" width="8" style="23"/>
    <col min="6660" max="6660" width="39.3984375" style="23" bestFit="1" customWidth="1"/>
    <col min="6661" max="6662" width="5" style="23" customWidth="1"/>
    <col min="6663" max="6663" width="11.09765625" style="23" customWidth="1"/>
    <col min="6664" max="6664" width="3.19921875" style="23" customWidth="1"/>
    <col min="6665" max="6665" width="11.09765625" style="23" customWidth="1"/>
    <col min="6666" max="6668" width="4.09765625" style="23" customWidth="1"/>
    <col min="6669" max="6669" width="35.59765625" style="23" customWidth="1"/>
    <col min="6670" max="6670" width="24.3984375" style="23" customWidth="1"/>
    <col min="6671" max="6671" width="9.3984375" style="23" bestFit="1" customWidth="1"/>
    <col min="6672" max="6913" width="8" style="23"/>
    <col min="6914" max="6914" width="4.09765625" style="23" customWidth="1"/>
    <col min="6915" max="6915" width="8" style="23"/>
    <col min="6916" max="6916" width="39.3984375" style="23" bestFit="1" customWidth="1"/>
    <col min="6917" max="6918" width="5" style="23" customWidth="1"/>
    <col min="6919" max="6919" width="11.09765625" style="23" customWidth="1"/>
    <col min="6920" max="6920" width="3.19921875" style="23" customWidth="1"/>
    <col min="6921" max="6921" width="11.09765625" style="23" customWidth="1"/>
    <col min="6922" max="6924" width="4.09765625" style="23" customWidth="1"/>
    <col min="6925" max="6925" width="35.59765625" style="23" customWidth="1"/>
    <col min="6926" max="6926" width="24.3984375" style="23" customWidth="1"/>
    <col min="6927" max="6927" width="9.3984375" style="23" bestFit="1" customWidth="1"/>
    <col min="6928" max="7169" width="9" style="23"/>
    <col min="7170" max="7170" width="4.09765625" style="23" customWidth="1"/>
    <col min="7171" max="7171" width="8" style="23"/>
    <col min="7172" max="7172" width="39.3984375" style="23" bestFit="1" customWidth="1"/>
    <col min="7173" max="7174" width="5" style="23" customWidth="1"/>
    <col min="7175" max="7175" width="11.09765625" style="23" customWidth="1"/>
    <col min="7176" max="7176" width="3.19921875" style="23" customWidth="1"/>
    <col min="7177" max="7177" width="11.09765625" style="23" customWidth="1"/>
    <col min="7178" max="7180" width="4.09765625" style="23" customWidth="1"/>
    <col min="7181" max="7181" width="35.59765625" style="23" customWidth="1"/>
    <col min="7182" max="7182" width="24.3984375" style="23" customWidth="1"/>
    <col min="7183" max="7183" width="9.3984375" style="23" bestFit="1" customWidth="1"/>
    <col min="7184" max="7425" width="8" style="23"/>
    <col min="7426" max="7426" width="4.09765625" style="23" customWidth="1"/>
    <col min="7427" max="7427" width="8" style="23"/>
    <col min="7428" max="7428" width="39.3984375" style="23" bestFit="1" customWidth="1"/>
    <col min="7429" max="7430" width="5" style="23" customWidth="1"/>
    <col min="7431" max="7431" width="11.09765625" style="23" customWidth="1"/>
    <col min="7432" max="7432" width="3.19921875" style="23" customWidth="1"/>
    <col min="7433" max="7433" width="11.09765625" style="23" customWidth="1"/>
    <col min="7434" max="7436" width="4.09765625" style="23" customWidth="1"/>
    <col min="7437" max="7437" width="35.59765625" style="23" customWidth="1"/>
    <col min="7438" max="7438" width="24.3984375" style="23" customWidth="1"/>
    <col min="7439" max="7439" width="9.3984375" style="23" bestFit="1" customWidth="1"/>
    <col min="7440" max="7681" width="8" style="23"/>
    <col min="7682" max="7682" width="4.09765625" style="23" customWidth="1"/>
    <col min="7683" max="7683" width="8" style="23"/>
    <col min="7684" max="7684" width="39.3984375" style="23" bestFit="1" customWidth="1"/>
    <col min="7685" max="7686" width="5" style="23" customWidth="1"/>
    <col min="7687" max="7687" width="11.09765625" style="23" customWidth="1"/>
    <col min="7688" max="7688" width="3.19921875" style="23" customWidth="1"/>
    <col min="7689" max="7689" width="11.09765625" style="23" customWidth="1"/>
    <col min="7690" max="7692" width="4.09765625" style="23" customWidth="1"/>
    <col min="7693" max="7693" width="35.59765625" style="23" customWidth="1"/>
    <col min="7694" max="7694" width="24.3984375" style="23" customWidth="1"/>
    <col min="7695" max="7695" width="9.3984375" style="23" bestFit="1" customWidth="1"/>
    <col min="7696" max="7937" width="8" style="23"/>
    <col min="7938" max="7938" width="4.09765625" style="23" customWidth="1"/>
    <col min="7939" max="7939" width="8" style="23"/>
    <col min="7940" max="7940" width="39.3984375" style="23" bestFit="1" customWidth="1"/>
    <col min="7941" max="7942" width="5" style="23" customWidth="1"/>
    <col min="7943" max="7943" width="11.09765625" style="23" customWidth="1"/>
    <col min="7944" max="7944" width="3.19921875" style="23" customWidth="1"/>
    <col min="7945" max="7945" width="11.09765625" style="23" customWidth="1"/>
    <col min="7946" max="7948" width="4.09765625" style="23" customWidth="1"/>
    <col min="7949" max="7949" width="35.59765625" style="23" customWidth="1"/>
    <col min="7950" max="7950" width="24.3984375" style="23" customWidth="1"/>
    <col min="7951" max="7951" width="9.3984375" style="23" bestFit="1" customWidth="1"/>
    <col min="7952" max="8193" width="9" style="23"/>
    <col min="8194" max="8194" width="4.09765625" style="23" customWidth="1"/>
    <col min="8195" max="8195" width="8" style="23"/>
    <col min="8196" max="8196" width="39.3984375" style="23" bestFit="1" customWidth="1"/>
    <col min="8197" max="8198" width="5" style="23" customWidth="1"/>
    <col min="8199" max="8199" width="11.09765625" style="23" customWidth="1"/>
    <col min="8200" max="8200" width="3.19921875" style="23" customWidth="1"/>
    <col min="8201" max="8201" width="11.09765625" style="23" customWidth="1"/>
    <col min="8202" max="8204" width="4.09765625" style="23" customWidth="1"/>
    <col min="8205" max="8205" width="35.59765625" style="23" customWidth="1"/>
    <col min="8206" max="8206" width="24.3984375" style="23" customWidth="1"/>
    <col min="8207" max="8207" width="9.3984375" style="23" bestFit="1" customWidth="1"/>
    <col min="8208" max="8449" width="8" style="23"/>
    <col min="8450" max="8450" width="4.09765625" style="23" customWidth="1"/>
    <col min="8451" max="8451" width="8" style="23"/>
    <col min="8452" max="8452" width="39.3984375" style="23" bestFit="1" customWidth="1"/>
    <col min="8453" max="8454" width="5" style="23" customWidth="1"/>
    <col min="8455" max="8455" width="11.09765625" style="23" customWidth="1"/>
    <col min="8456" max="8456" width="3.19921875" style="23" customWidth="1"/>
    <col min="8457" max="8457" width="11.09765625" style="23" customWidth="1"/>
    <col min="8458" max="8460" width="4.09765625" style="23" customWidth="1"/>
    <col min="8461" max="8461" width="35.59765625" style="23" customWidth="1"/>
    <col min="8462" max="8462" width="24.3984375" style="23" customWidth="1"/>
    <col min="8463" max="8463" width="9.3984375" style="23" bestFit="1" customWidth="1"/>
    <col min="8464" max="8705" width="8" style="23"/>
    <col min="8706" max="8706" width="4.09765625" style="23" customWidth="1"/>
    <col min="8707" max="8707" width="8" style="23"/>
    <col min="8708" max="8708" width="39.3984375" style="23" bestFit="1" customWidth="1"/>
    <col min="8709" max="8710" width="5" style="23" customWidth="1"/>
    <col min="8711" max="8711" width="11.09765625" style="23" customWidth="1"/>
    <col min="8712" max="8712" width="3.19921875" style="23" customWidth="1"/>
    <col min="8713" max="8713" width="11.09765625" style="23" customWidth="1"/>
    <col min="8714" max="8716" width="4.09765625" style="23" customWidth="1"/>
    <col min="8717" max="8717" width="35.59765625" style="23" customWidth="1"/>
    <col min="8718" max="8718" width="24.3984375" style="23" customWidth="1"/>
    <col min="8719" max="8719" width="9.3984375" style="23" bestFit="1" customWidth="1"/>
    <col min="8720" max="8961" width="8" style="23"/>
    <col min="8962" max="8962" width="4.09765625" style="23" customWidth="1"/>
    <col min="8963" max="8963" width="8" style="23"/>
    <col min="8964" max="8964" width="39.3984375" style="23" bestFit="1" customWidth="1"/>
    <col min="8965" max="8966" width="5" style="23" customWidth="1"/>
    <col min="8967" max="8967" width="11.09765625" style="23" customWidth="1"/>
    <col min="8968" max="8968" width="3.19921875" style="23" customWidth="1"/>
    <col min="8969" max="8969" width="11.09765625" style="23" customWidth="1"/>
    <col min="8970" max="8972" width="4.09765625" style="23" customWidth="1"/>
    <col min="8973" max="8973" width="35.59765625" style="23" customWidth="1"/>
    <col min="8974" max="8974" width="24.3984375" style="23" customWidth="1"/>
    <col min="8975" max="8975" width="9.3984375" style="23" bestFit="1" customWidth="1"/>
    <col min="8976" max="9217" width="9" style="23"/>
    <col min="9218" max="9218" width="4.09765625" style="23" customWidth="1"/>
    <col min="9219" max="9219" width="8" style="23"/>
    <col min="9220" max="9220" width="39.3984375" style="23" bestFit="1" customWidth="1"/>
    <col min="9221" max="9222" width="5" style="23" customWidth="1"/>
    <col min="9223" max="9223" width="11.09765625" style="23" customWidth="1"/>
    <col min="9224" max="9224" width="3.19921875" style="23" customWidth="1"/>
    <col min="9225" max="9225" width="11.09765625" style="23" customWidth="1"/>
    <col min="9226" max="9228" width="4.09765625" style="23" customWidth="1"/>
    <col min="9229" max="9229" width="35.59765625" style="23" customWidth="1"/>
    <col min="9230" max="9230" width="24.3984375" style="23" customWidth="1"/>
    <col min="9231" max="9231" width="9.3984375" style="23" bestFit="1" customWidth="1"/>
    <col min="9232" max="9473" width="8" style="23"/>
    <col min="9474" max="9474" width="4.09765625" style="23" customWidth="1"/>
    <col min="9475" max="9475" width="8" style="23"/>
    <col min="9476" max="9476" width="39.3984375" style="23" bestFit="1" customWidth="1"/>
    <col min="9477" max="9478" width="5" style="23" customWidth="1"/>
    <col min="9479" max="9479" width="11.09765625" style="23" customWidth="1"/>
    <col min="9480" max="9480" width="3.19921875" style="23" customWidth="1"/>
    <col min="9481" max="9481" width="11.09765625" style="23" customWidth="1"/>
    <col min="9482" max="9484" width="4.09765625" style="23" customWidth="1"/>
    <col min="9485" max="9485" width="35.59765625" style="23" customWidth="1"/>
    <col min="9486" max="9486" width="24.3984375" style="23" customWidth="1"/>
    <col min="9487" max="9487" width="9.3984375" style="23" bestFit="1" customWidth="1"/>
    <col min="9488" max="9729" width="8" style="23"/>
    <col min="9730" max="9730" width="4.09765625" style="23" customWidth="1"/>
    <col min="9731" max="9731" width="8" style="23"/>
    <col min="9732" max="9732" width="39.3984375" style="23" bestFit="1" customWidth="1"/>
    <col min="9733" max="9734" width="5" style="23" customWidth="1"/>
    <col min="9735" max="9735" width="11.09765625" style="23" customWidth="1"/>
    <col min="9736" max="9736" width="3.19921875" style="23" customWidth="1"/>
    <col min="9737" max="9737" width="11.09765625" style="23" customWidth="1"/>
    <col min="9738" max="9740" width="4.09765625" style="23" customWidth="1"/>
    <col min="9741" max="9741" width="35.59765625" style="23" customWidth="1"/>
    <col min="9742" max="9742" width="24.3984375" style="23" customWidth="1"/>
    <col min="9743" max="9743" width="9.3984375" style="23" bestFit="1" customWidth="1"/>
    <col min="9744" max="9985" width="8" style="23"/>
    <col min="9986" max="9986" width="4.09765625" style="23" customWidth="1"/>
    <col min="9987" max="9987" width="8" style="23"/>
    <col min="9988" max="9988" width="39.3984375" style="23" bestFit="1" customWidth="1"/>
    <col min="9989" max="9990" width="5" style="23" customWidth="1"/>
    <col min="9991" max="9991" width="11.09765625" style="23" customWidth="1"/>
    <col min="9992" max="9992" width="3.19921875" style="23" customWidth="1"/>
    <col min="9993" max="9993" width="11.09765625" style="23" customWidth="1"/>
    <col min="9994" max="9996" width="4.09765625" style="23" customWidth="1"/>
    <col min="9997" max="9997" width="35.59765625" style="23" customWidth="1"/>
    <col min="9998" max="9998" width="24.3984375" style="23" customWidth="1"/>
    <col min="9999" max="9999" width="9.3984375" style="23" bestFit="1" customWidth="1"/>
    <col min="10000" max="10241" width="9" style="23"/>
    <col min="10242" max="10242" width="4.09765625" style="23" customWidth="1"/>
    <col min="10243" max="10243" width="8" style="23"/>
    <col min="10244" max="10244" width="39.3984375" style="23" bestFit="1" customWidth="1"/>
    <col min="10245" max="10246" width="5" style="23" customWidth="1"/>
    <col min="10247" max="10247" width="11.09765625" style="23" customWidth="1"/>
    <col min="10248" max="10248" width="3.19921875" style="23" customWidth="1"/>
    <col min="10249" max="10249" width="11.09765625" style="23" customWidth="1"/>
    <col min="10250" max="10252" width="4.09765625" style="23" customWidth="1"/>
    <col min="10253" max="10253" width="35.59765625" style="23" customWidth="1"/>
    <col min="10254" max="10254" width="24.3984375" style="23" customWidth="1"/>
    <col min="10255" max="10255" width="9.3984375" style="23" bestFit="1" customWidth="1"/>
    <col min="10256" max="10497" width="8" style="23"/>
    <col min="10498" max="10498" width="4.09765625" style="23" customWidth="1"/>
    <col min="10499" max="10499" width="8" style="23"/>
    <col min="10500" max="10500" width="39.3984375" style="23" bestFit="1" customWidth="1"/>
    <col min="10501" max="10502" width="5" style="23" customWidth="1"/>
    <col min="10503" max="10503" width="11.09765625" style="23" customWidth="1"/>
    <col min="10504" max="10504" width="3.19921875" style="23" customWidth="1"/>
    <col min="10505" max="10505" width="11.09765625" style="23" customWidth="1"/>
    <col min="10506" max="10508" width="4.09765625" style="23" customWidth="1"/>
    <col min="10509" max="10509" width="35.59765625" style="23" customWidth="1"/>
    <col min="10510" max="10510" width="24.3984375" style="23" customWidth="1"/>
    <col min="10511" max="10511" width="9.3984375" style="23" bestFit="1" customWidth="1"/>
    <col min="10512" max="10753" width="8" style="23"/>
    <col min="10754" max="10754" width="4.09765625" style="23" customWidth="1"/>
    <col min="10755" max="10755" width="8" style="23"/>
    <col min="10756" max="10756" width="39.3984375" style="23" bestFit="1" customWidth="1"/>
    <col min="10757" max="10758" width="5" style="23" customWidth="1"/>
    <col min="10759" max="10759" width="11.09765625" style="23" customWidth="1"/>
    <col min="10760" max="10760" width="3.19921875" style="23" customWidth="1"/>
    <col min="10761" max="10761" width="11.09765625" style="23" customWidth="1"/>
    <col min="10762" max="10764" width="4.09765625" style="23" customWidth="1"/>
    <col min="10765" max="10765" width="35.59765625" style="23" customWidth="1"/>
    <col min="10766" max="10766" width="24.3984375" style="23" customWidth="1"/>
    <col min="10767" max="10767" width="9.3984375" style="23" bestFit="1" customWidth="1"/>
    <col min="10768" max="11009" width="8" style="23"/>
    <col min="11010" max="11010" width="4.09765625" style="23" customWidth="1"/>
    <col min="11011" max="11011" width="8" style="23"/>
    <col min="11012" max="11012" width="39.3984375" style="23" bestFit="1" customWidth="1"/>
    <col min="11013" max="11014" width="5" style="23" customWidth="1"/>
    <col min="11015" max="11015" width="11.09765625" style="23" customWidth="1"/>
    <col min="11016" max="11016" width="3.19921875" style="23" customWidth="1"/>
    <col min="11017" max="11017" width="11.09765625" style="23" customWidth="1"/>
    <col min="11018" max="11020" width="4.09765625" style="23" customWidth="1"/>
    <col min="11021" max="11021" width="35.59765625" style="23" customWidth="1"/>
    <col min="11022" max="11022" width="24.3984375" style="23" customWidth="1"/>
    <col min="11023" max="11023" width="9.3984375" style="23" bestFit="1" customWidth="1"/>
    <col min="11024" max="11265" width="9" style="23"/>
    <col min="11266" max="11266" width="4.09765625" style="23" customWidth="1"/>
    <col min="11267" max="11267" width="8" style="23"/>
    <col min="11268" max="11268" width="39.3984375" style="23" bestFit="1" customWidth="1"/>
    <col min="11269" max="11270" width="5" style="23" customWidth="1"/>
    <col min="11271" max="11271" width="11.09765625" style="23" customWidth="1"/>
    <col min="11272" max="11272" width="3.19921875" style="23" customWidth="1"/>
    <col min="11273" max="11273" width="11.09765625" style="23" customWidth="1"/>
    <col min="11274" max="11276" width="4.09765625" style="23" customWidth="1"/>
    <col min="11277" max="11277" width="35.59765625" style="23" customWidth="1"/>
    <col min="11278" max="11278" width="24.3984375" style="23" customWidth="1"/>
    <col min="11279" max="11279" width="9.3984375" style="23" bestFit="1" customWidth="1"/>
    <col min="11280" max="11521" width="8" style="23"/>
    <col min="11522" max="11522" width="4.09765625" style="23" customWidth="1"/>
    <col min="11523" max="11523" width="8" style="23"/>
    <col min="11524" max="11524" width="39.3984375" style="23" bestFit="1" customWidth="1"/>
    <col min="11525" max="11526" width="5" style="23" customWidth="1"/>
    <col min="11527" max="11527" width="11.09765625" style="23" customWidth="1"/>
    <col min="11528" max="11528" width="3.19921875" style="23" customWidth="1"/>
    <col min="11529" max="11529" width="11.09765625" style="23" customWidth="1"/>
    <col min="11530" max="11532" width="4.09765625" style="23" customWidth="1"/>
    <col min="11533" max="11533" width="35.59765625" style="23" customWidth="1"/>
    <col min="11534" max="11534" width="24.3984375" style="23" customWidth="1"/>
    <col min="11535" max="11535" width="9.3984375" style="23" bestFit="1" customWidth="1"/>
    <col min="11536" max="11777" width="8" style="23"/>
    <col min="11778" max="11778" width="4.09765625" style="23" customWidth="1"/>
    <col min="11779" max="11779" width="8" style="23"/>
    <col min="11780" max="11780" width="39.3984375" style="23" bestFit="1" customWidth="1"/>
    <col min="11781" max="11782" width="5" style="23" customWidth="1"/>
    <col min="11783" max="11783" width="11.09765625" style="23" customWidth="1"/>
    <col min="11784" max="11784" width="3.19921875" style="23" customWidth="1"/>
    <col min="11785" max="11785" width="11.09765625" style="23" customWidth="1"/>
    <col min="11786" max="11788" width="4.09765625" style="23" customWidth="1"/>
    <col min="11789" max="11789" width="35.59765625" style="23" customWidth="1"/>
    <col min="11790" max="11790" width="24.3984375" style="23" customWidth="1"/>
    <col min="11791" max="11791" width="9.3984375" style="23" bestFit="1" customWidth="1"/>
    <col min="11792" max="12033" width="8" style="23"/>
    <col min="12034" max="12034" width="4.09765625" style="23" customWidth="1"/>
    <col min="12035" max="12035" width="8" style="23"/>
    <col min="12036" max="12036" width="39.3984375" style="23" bestFit="1" customWidth="1"/>
    <col min="12037" max="12038" width="5" style="23" customWidth="1"/>
    <col min="12039" max="12039" width="11.09765625" style="23" customWidth="1"/>
    <col min="12040" max="12040" width="3.19921875" style="23" customWidth="1"/>
    <col min="12041" max="12041" width="11.09765625" style="23" customWidth="1"/>
    <col min="12042" max="12044" width="4.09765625" style="23" customWidth="1"/>
    <col min="12045" max="12045" width="35.59765625" style="23" customWidth="1"/>
    <col min="12046" max="12046" width="24.3984375" style="23" customWidth="1"/>
    <col min="12047" max="12047" width="9.3984375" style="23" bestFit="1" customWidth="1"/>
    <col min="12048" max="12289" width="9" style="23"/>
    <col min="12290" max="12290" width="4.09765625" style="23" customWidth="1"/>
    <col min="12291" max="12291" width="8" style="23"/>
    <col min="12292" max="12292" width="39.3984375" style="23" bestFit="1" customWidth="1"/>
    <col min="12293" max="12294" width="5" style="23" customWidth="1"/>
    <col min="12295" max="12295" width="11.09765625" style="23" customWidth="1"/>
    <col min="12296" max="12296" width="3.19921875" style="23" customWidth="1"/>
    <col min="12297" max="12297" width="11.09765625" style="23" customWidth="1"/>
    <col min="12298" max="12300" width="4.09765625" style="23" customWidth="1"/>
    <col min="12301" max="12301" width="35.59765625" style="23" customWidth="1"/>
    <col min="12302" max="12302" width="24.3984375" style="23" customWidth="1"/>
    <col min="12303" max="12303" width="9.3984375" style="23" bestFit="1" customWidth="1"/>
    <col min="12304" max="12545" width="8" style="23"/>
    <col min="12546" max="12546" width="4.09765625" style="23" customWidth="1"/>
    <col min="12547" max="12547" width="8" style="23"/>
    <col min="12548" max="12548" width="39.3984375" style="23" bestFit="1" customWidth="1"/>
    <col min="12549" max="12550" width="5" style="23" customWidth="1"/>
    <col min="12551" max="12551" width="11.09765625" style="23" customWidth="1"/>
    <col min="12552" max="12552" width="3.19921875" style="23" customWidth="1"/>
    <col min="12553" max="12553" width="11.09765625" style="23" customWidth="1"/>
    <col min="12554" max="12556" width="4.09765625" style="23" customWidth="1"/>
    <col min="12557" max="12557" width="35.59765625" style="23" customWidth="1"/>
    <col min="12558" max="12558" width="24.3984375" style="23" customWidth="1"/>
    <col min="12559" max="12559" width="9.3984375" style="23" bestFit="1" customWidth="1"/>
    <col min="12560" max="12801" width="8" style="23"/>
    <col min="12802" max="12802" width="4.09765625" style="23" customWidth="1"/>
    <col min="12803" max="12803" width="8" style="23"/>
    <col min="12804" max="12804" width="39.3984375" style="23" bestFit="1" customWidth="1"/>
    <col min="12805" max="12806" width="5" style="23" customWidth="1"/>
    <col min="12807" max="12807" width="11.09765625" style="23" customWidth="1"/>
    <col min="12808" max="12808" width="3.19921875" style="23" customWidth="1"/>
    <col min="12809" max="12809" width="11.09765625" style="23" customWidth="1"/>
    <col min="12810" max="12812" width="4.09765625" style="23" customWidth="1"/>
    <col min="12813" max="12813" width="35.59765625" style="23" customWidth="1"/>
    <col min="12814" max="12814" width="24.3984375" style="23" customWidth="1"/>
    <col min="12815" max="12815" width="9.3984375" style="23" bestFit="1" customWidth="1"/>
    <col min="12816" max="13057" width="8" style="23"/>
    <col min="13058" max="13058" width="4.09765625" style="23" customWidth="1"/>
    <col min="13059" max="13059" width="8" style="23"/>
    <col min="13060" max="13060" width="39.3984375" style="23" bestFit="1" customWidth="1"/>
    <col min="13061" max="13062" width="5" style="23" customWidth="1"/>
    <col min="13063" max="13063" width="11.09765625" style="23" customWidth="1"/>
    <col min="13064" max="13064" width="3.19921875" style="23" customWidth="1"/>
    <col min="13065" max="13065" width="11.09765625" style="23" customWidth="1"/>
    <col min="13066" max="13068" width="4.09765625" style="23" customWidth="1"/>
    <col min="13069" max="13069" width="35.59765625" style="23" customWidth="1"/>
    <col min="13070" max="13070" width="24.3984375" style="23" customWidth="1"/>
    <col min="13071" max="13071" width="9.3984375" style="23" bestFit="1" customWidth="1"/>
    <col min="13072" max="13313" width="9" style="23"/>
    <col min="13314" max="13314" width="4.09765625" style="23" customWidth="1"/>
    <col min="13315" max="13315" width="8" style="23"/>
    <col min="13316" max="13316" width="39.3984375" style="23" bestFit="1" customWidth="1"/>
    <col min="13317" max="13318" width="5" style="23" customWidth="1"/>
    <col min="13319" max="13319" width="11.09765625" style="23" customWidth="1"/>
    <col min="13320" max="13320" width="3.19921875" style="23" customWidth="1"/>
    <col min="13321" max="13321" width="11.09765625" style="23" customWidth="1"/>
    <col min="13322" max="13324" width="4.09765625" style="23" customWidth="1"/>
    <col min="13325" max="13325" width="35.59765625" style="23" customWidth="1"/>
    <col min="13326" max="13326" width="24.3984375" style="23" customWidth="1"/>
    <col min="13327" max="13327" width="9.3984375" style="23" bestFit="1" customWidth="1"/>
    <col min="13328" max="13569" width="8" style="23"/>
    <col min="13570" max="13570" width="4.09765625" style="23" customWidth="1"/>
    <col min="13571" max="13571" width="8" style="23"/>
    <col min="13572" max="13572" width="39.3984375" style="23" bestFit="1" customWidth="1"/>
    <col min="13573" max="13574" width="5" style="23" customWidth="1"/>
    <col min="13575" max="13575" width="11.09765625" style="23" customWidth="1"/>
    <col min="13576" max="13576" width="3.19921875" style="23" customWidth="1"/>
    <col min="13577" max="13577" width="11.09765625" style="23" customWidth="1"/>
    <col min="13578" max="13580" width="4.09765625" style="23" customWidth="1"/>
    <col min="13581" max="13581" width="35.59765625" style="23" customWidth="1"/>
    <col min="13582" max="13582" width="24.3984375" style="23" customWidth="1"/>
    <col min="13583" max="13583" width="9.3984375" style="23" bestFit="1" customWidth="1"/>
    <col min="13584" max="13825" width="8" style="23"/>
    <col min="13826" max="13826" width="4.09765625" style="23" customWidth="1"/>
    <col min="13827" max="13827" width="8" style="23"/>
    <col min="13828" max="13828" width="39.3984375" style="23" bestFit="1" customWidth="1"/>
    <col min="13829" max="13830" width="5" style="23" customWidth="1"/>
    <col min="13831" max="13831" width="11.09765625" style="23" customWidth="1"/>
    <col min="13832" max="13832" width="3.19921875" style="23" customWidth="1"/>
    <col min="13833" max="13833" width="11.09765625" style="23" customWidth="1"/>
    <col min="13834" max="13836" width="4.09765625" style="23" customWidth="1"/>
    <col min="13837" max="13837" width="35.59765625" style="23" customWidth="1"/>
    <col min="13838" max="13838" width="24.3984375" style="23" customWidth="1"/>
    <col min="13839" max="13839" width="9.3984375" style="23" bestFit="1" customWidth="1"/>
    <col min="13840" max="14081" width="8" style="23"/>
    <col min="14082" max="14082" width="4.09765625" style="23" customWidth="1"/>
    <col min="14083" max="14083" width="8" style="23"/>
    <col min="14084" max="14084" width="39.3984375" style="23" bestFit="1" customWidth="1"/>
    <col min="14085" max="14086" width="5" style="23" customWidth="1"/>
    <col min="14087" max="14087" width="11.09765625" style="23" customWidth="1"/>
    <col min="14088" max="14088" width="3.19921875" style="23" customWidth="1"/>
    <col min="14089" max="14089" width="11.09765625" style="23" customWidth="1"/>
    <col min="14090" max="14092" width="4.09765625" style="23" customWidth="1"/>
    <col min="14093" max="14093" width="35.59765625" style="23" customWidth="1"/>
    <col min="14094" max="14094" width="24.3984375" style="23" customWidth="1"/>
    <col min="14095" max="14095" width="9.3984375" style="23" bestFit="1" customWidth="1"/>
    <col min="14096" max="14337" width="9" style="23"/>
    <col min="14338" max="14338" width="4.09765625" style="23" customWidth="1"/>
    <col min="14339" max="14339" width="8" style="23"/>
    <col min="14340" max="14340" width="39.3984375" style="23" bestFit="1" customWidth="1"/>
    <col min="14341" max="14342" width="5" style="23" customWidth="1"/>
    <col min="14343" max="14343" width="11.09765625" style="23" customWidth="1"/>
    <col min="14344" max="14344" width="3.19921875" style="23" customWidth="1"/>
    <col min="14345" max="14345" width="11.09765625" style="23" customWidth="1"/>
    <col min="14346" max="14348" width="4.09765625" style="23" customWidth="1"/>
    <col min="14349" max="14349" width="35.59765625" style="23" customWidth="1"/>
    <col min="14350" max="14350" width="24.3984375" style="23" customWidth="1"/>
    <col min="14351" max="14351" width="9.3984375" style="23" bestFit="1" customWidth="1"/>
    <col min="14352" max="14593" width="8" style="23"/>
    <col min="14594" max="14594" width="4.09765625" style="23" customWidth="1"/>
    <col min="14595" max="14595" width="8" style="23"/>
    <col min="14596" max="14596" width="39.3984375" style="23" bestFit="1" customWidth="1"/>
    <col min="14597" max="14598" width="5" style="23" customWidth="1"/>
    <col min="14599" max="14599" width="11.09765625" style="23" customWidth="1"/>
    <col min="14600" max="14600" width="3.19921875" style="23" customWidth="1"/>
    <col min="14601" max="14601" width="11.09765625" style="23" customWidth="1"/>
    <col min="14602" max="14604" width="4.09765625" style="23" customWidth="1"/>
    <col min="14605" max="14605" width="35.59765625" style="23" customWidth="1"/>
    <col min="14606" max="14606" width="24.3984375" style="23" customWidth="1"/>
    <col min="14607" max="14607" width="9.3984375" style="23" bestFit="1" customWidth="1"/>
    <col min="14608" max="14849" width="8" style="23"/>
    <col min="14850" max="14850" width="4.09765625" style="23" customWidth="1"/>
    <col min="14851" max="14851" width="8" style="23"/>
    <col min="14852" max="14852" width="39.3984375" style="23" bestFit="1" customWidth="1"/>
    <col min="14853" max="14854" width="5" style="23" customWidth="1"/>
    <col min="14855" max="14855" width="11.09765625" style="23" customWidth="1"/>
    <col min="14856" max="14856" width="3.19921875" style="23" customWidth="1"/>
    <col min="14857" max="14857" width="11.09765625" style="23" customWidth="1"/>
    <col min="14858" max="14860" width="4.09765625" style="23" customWidth="1"/>
    <col min="14861" max="14861" width="35.59765625" style="23" customWidth="1"/>
    <col min="14862" max="14862" width="24.3984375" style="23" customWidth="1"/>
    <col min="14863" max="14863" width="9.3984375" style="23" bestFit="1" customWidth="1"/>
    <col min="14864" max="15105" width="8" style="23"/>
    <col min="15106" max="15106" width="4.09765625" style="23" customWidth="1"/>
    <col min="15107" max="15107" width="8" style="23"/>
    <col min="15108" max="15108" width="39.3984375" style="23" bestFit="1" customWidth="1"/>
    <col min="15109" max="15110" width="5" style="23" customWidth="1"/>
    <col min="15111" max="15111" width="11.09765625" style="23" customWidth="1"/>
    <col min="15112" max="15112" width="3.19921875" style="23" customWidth="1"/>
    <col min="15113" max="15113" width="11.09765625" style="23" customWidth="1"/>
    <col min="15114" max="15116" width="4.09765625" style="23" customWidth="1"/>
    <col min="15117" max="15117" width="35.59765625" style="23" customWidth="1"/>
    <col min="15118" max="15118" width="24.3984375" style="23" customWidth="1"/>
    <col min="15119" max="15119" width="9.3984375" style="23" bestFit="1" customWidth="1"/>
    <col min="15120" max="15361" width="9" style="23"/>
    <col min="15362" max="15362" width="4.09765625" style="23" customWidth="1"/>
    <col min="15363" max="15363" width="8" style="23"/>
    <col min="15364" max="15364" width="39.3984375" style="23" bestFit="1" customWidth="1"/>
    <col min="15365" max="15366" width="5" style="23" customWidth="1"/>
    <col min="15367" max="15367" width="11.09765625" style="23" customWidth="1"/>
    <col min="15368" max="15368" width="3.19921875" style="23" customWidth="1"/>
    <col min="15369" max="15369" width="11.09765625" style="23" customWidth="1"/>
    <col min="15370" max="15372" width="4.09765625" style="23" customWidth="1"/>
    <col min="15373" max="15373" width="35.59765625" style="23" customWidth="1"/>
    <col min="15374" max="15374" width="24.3984375" style="23" customWidth="1"/>
    <col min="15375" max="15375" width="9.3984375" style="23" bestFit="1" customWidth="1"/>
    <col min="15376" max="15617" width="8" style="23"/>
    <col min="15618" max="15618" width="4.09765625" style="23" customWidth="1"/>
    <col min="15619" max="15619" width="8" style="23"/>
    <col min="15620" max="15620" width="39.3984375" style="23" bestFit="1" customWidth="1"/>
    <col min="15621" max="15622" width="5" style="23" customWidth="1"/>
    <col min="15623" max="15623" width="11.09765625" style="23" customWidth="1"/>
    <col min="15624" max="15624" width="3.19921875" style="23" customWidth="1"/>
    <col min="15625" max="15625" width="11.09765625" style="23" customWidth="1"/>
    <col min="15626" max="15628" width="4.09765625" style="23" customWidth="1"/>
    <col min="15629" max="15629" width="35.59765625" style="23" customWidth="1"/>
    <col min="15630" max="15630" width="24.3984375" style="23" customWidth="1"/>
    <col min="15631" max="15631" width="9.3984375" style="23" bestFit="1" customWidth="1"/>
    <col min="15632" max="15873" width="8" style="23"/>
    <col min="15874" max="15874" width="4.09765625" style="23" customWidth="1"/>
    <col min="15875" max="15875" width="8" style="23"/>
    <col min="15876" max="15876" width="39.3984375" style="23" bestFit="1" customWidth="1"/>
    <col min="15877" max="15878" width="5" style="23" customWidth="1"/>
    <col min="15879" max="15879" width="11.09765625" style="23" customWidth="1"/>
    <col min="15880" max="15880" width="3.19921875" style="23" customWidth="1"/>
    <col min="15881" max="15881" width="11.09765625" style="23" customWidth="1"/>
    <col min="15882" max="15884" width="4.09765625" style="23" customWidth="1"/>
    <col min="15885" max="15885" width="35.59765625" style="23" customWidth="1"/>
    <col min="15886" max="15886" width="24.3984375" style="23" customWidth="1"/>
    <col min="15887" max="15887" width="9.3984375" style="23" bestFit="1" customWidth="1"/>
    <col min="15888" max="16129" width="8" style="23"/>
    <col min="16130" max="16130" width="4.09765625" style="23" customWidth="1"/>
    <col min="16131" max="16131" width="8" style="23"/>
    <col min="16132" max="16132" width="39.3984375" style="23" bestFit="1" customWidth="1"/>
    <col min="16133" max="16134" width="5" style="23" customWidth="1"/>
    <col min="16135" max="16135" width="11.09765625" style="23" customWidth="1"/>
    <col min="16136" max="16136" width="3.19921875" style="23" customWidth="1"/>
    <col min="16137" max="16137" width="11.09765625" style="23" customWidth="1"/>
    <col min="16138" max="16140" width="4.09765625" style="23" customWidth="1"/>
    <col min="16141" max="16141" width="35.59765625" style="23" customWidth="1"/>
    <col min="16142" max="16142" width="24.3984375" style="23" customWidth="1"/>
    <col min="16143" max="16143" width="9.3984375" style="23" bestFit="1" customWidth="1"/>
    <col min="16144" max="16384" width="9" style="23"/>
  </cols>
  <sheetData>
    <row r="3" spans="1:28" ht="16.8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 t="s">
        <v>320</v>
      </c>
      <c r="P3" s="105"/>
      <c r="Q3" s="105" t="s">
        <v>321</v>
      </c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</row>
    <row r="4" spans="1:28" ht="16.8">
      <c r="B4" s="108" t="s">
        <v>376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</row>
    <row r="5" spans="1:28" ht="16.8">
      <c r="B5" s="108"/>
      <c r="C5" s="109" t="s">
        <v>377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 t="s">
        <v>378</v>
      </c>
      <c r="P5" s="109"/>
      <c r="Q5" s="109" t="s">
        <v>378</v>
      </c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18.75" customHeight="1">
      <c r="B6" s="108"/>
      <c r="C6" s="109"/>
    </row>
    <row r="7" spans="1:28" ht="16.8">
      <c r="B7" s="108"/>
      <c r="C7" s="109"/>
      <c r="D7" s="26"/>
      <c r="E7" s="32"/>
      <c r="F7" s="32"/>
      <c r="H7" s="32"/>
      <c r="J7" s="24"/>
      <c r="K7" s="24"/>
      <c r="L7" s="24"/>
      <c r="M7" s="24"/>
    </row>
    <row r="8" spans="1:28" ht="16.8">
      <c r="B8" s="108"/>
      <c r="C8" s="109"/>
      <c r="D8" s="26"/>
      <c r="E8" s="32"/>
      <c r="F8" s="32"/>
      <c r="H8" s="32"/>
      <c r="J8" s="24"/>
      <c r="K8" s="24"/>
      <c r="L8" s="24"/>
      <c r="M8" s="24"/>
      <c r="AB8" s="25"/>
    </row>
    <row r="9" spans="1:28" ht="16.8">
      <c r="B9" s="108"/>
      <c r="C9" s="109"/>
      <c r="D9" s="26"/>
      <c r="J9" s="24"/>
      <c r="K9" s="24"/>
      <c r="L9" s="24"/>
      <c r="M9" s="24"/>
      <c r="AB9" s="25"/>
    </row>
    <row r="10" spans="1:28" ht="27">
      <c r="B10" s="108"/>
      <c r="C10" s="109"/>
      <c r="D10" s="119" t="s">
        <v>450</v>
      </c>
      <c r="J10" s="24"/>
      <c r="K10" s="24"/>
      <c r="L10" s="24"/>
      <c r="M10" s="24"/>
      <c r="AB10" s="25"/>
    </row>
    <row r="11" spans="1:28" ht="17.399999999999999" thickBot="1">
      <c r="B11" s="108"/>
      <c r="C11" s="109"/>
      <c r="D11" s="26"/>
      <c r="J11" s="24"/>
      <c r="K11" s="24"/>
      <c r="L11" s="24"/>
      <c r="M11" s="24"/>
      <c r="AB11" s="25"/>
    </row>
    <row r="12" spans="1:28" ht="20.399999999999999" thickTop="1" thickBot="1">
      <c r="B12" s="108"/>
      <c r="C12" s="109"/>
      <c r="D12" s="92" t="s">
        <v>414</v>
      </c>
      <c r="E12" s="27"/>
      <c r="F12" s="27"/>
      <c r="G12" s="88" t="s">
        <v>513</v>
      </c>
      <c r="H12" s="27"/>
      <c r="I12" s="88">
        <f>Variables!O42</f>
        <v>0</v>
      </c>
      <c r="J12" s="27"/>
      <c r="K12" s="27"/>
      <c r="L12" s="27"/>
      <c r="O12" s="121" t="str">
        <f>Variables!I42</f>
        <v/>
      </c>
    </row>
    <row r="13" spans="1:28" ht="17.399999999999999" thickTop="1">
      <c r="B13" s="108"/>
      <c r="C13" s="109"/>
      <c r="D13" s="38"/>
      <c r="E13" s="38"/>
      <c r="F13" s="38"/>
      <c r="G13" s="88"/>
      <c r="H13" s="38"/>
      <c r="I13" s="88"/>
      <c r="J13" s="38"/>
      <c r="K13" s="38"/>
      <c r="L13" s="38"/>
      <c r="M13" s="38"/>
    </row>
    <row r="14" spans="1:28" s="25" customFormat="1" ht="19.2">
      <c r="B14" s="170"/>
      <c r="C14" s="171"/>
      <c r="D14" s="283" t="s">
        <v>215</v>
      </c>
      <c r="E14" s="28"/>
      <c r="F14" s="28"/>
      <c r="G14" s="284" t="s">
        <v>570</v>
      </c>
      <c r="H14" s="29"/>
      <c r="I14" s="284" t="s">
        <v>571</v>
      </c>
      <c r="J14" s="285"/>
      <c r="K14" s="285"/>
      <c r="L14" s="285"/>
      <c r="M14" s="284" t="s">
        <v>3</v>
      </c>
      <c r="O14" s="25" t="s">
        <v>572</v>
      </c>
      <c r="Q14" s="25" t="s">
        <v>573</v>
      </c>
    </row>
    <row r="15" spans="1:28" ht="16.8">
      <c r="B15" s="108"/>
      <c r="C15" s="109"/>
      <c r="D15" s="27"/>
      <c r="E15" s="27"/>
      <c r="F15" s="27"/>
      <c r="G15" s="88"/>
      <c r="H15" s="27"/>
      <c r="I15" s="88"/>
      <c r="J15" s="27"/>
      <c r="K15" s="27"/>
      <c r="L15" s="27"/>
      <c r="M15" s="27"/>
    </row>
    <row r="16" spans="1:28" ht="17.399999999999999" thickBot="1">
      <c r="B16" s="108"/>
      <c r="C16" s="109"/>
      <c r="D16" s="98" t="s">
        <v>217</v>
      </c>
      <c r="E16" s="27"/>
      <c r="F16" s="27"/>
      <c r="G16" s="88"/>
      <c r="H16" s="27"/>
      <c r="I16" s="88"/>
      <c r="J16" s="27"/>
      <c r="K16" s="27"/>
      <c r="L16" s="27"/>
      <c r="M16" s="27"/>
    </row>
    <row r="17" spans="1:17" ht="18" thickTop="1" thickBot="1">
      <c r="A17" s="105" t="s">
        <v>91</v>
      </c>
      <c r="B17" s="108"/>
      <c r="C17" s="109"/>
      <c r="D17" s="122" t="s">
        <v>218</v>
      </c>
      <c r="E17" s="27" t="s">
        <v>327</v>
      </c>
      <c r="F17" s="27"/>
      <c r="G17" s="123" cm="1">
        <f t="array" ref="G17">IF(I12=0,0,_xll.GetData("CYFDept","Entity="&amp;I12,"Entity"))</f>
        <v>0</v>
      </c>
      <c r="H17" s="27"/>
      <c r="I17" s="123" cm="1">
        <f t="array" ref="I17">_xll.GetData("CYFAcct","FSDetail='"&amp;E17&amp;"'","Acct_FSDetail")</f>
        <v>31900</v>
      </c>
      <c r="J17" s="27"/>
      <c r="K17" s="27"/>
      <c r="L17" s="27"/>
      <c r="M17" s="122" t="str">
        <f>O17&amp;" - "&amp;Q17</f>
        <v>Default - IP - Other</v>
      </c>
      <c r="O17" s="122" t="str">
        <f>_xll.GetData(O$3,"Dept = "&amp;G17,,"&lt;&lt;&lt;Invalid Dept")</f>
        <v>Default</v>
      </c>
      <c r="Q17" s="122" t="str">
        <f>_xll.GetData(Q$3,"Acct = "&amp;I17,," Invalid Account Number")</f>
        <v>IP - Other</v>
      </c>
    </row>
    <row r="18" spans="1:17" ht="18" thickTop="1" thickBot="1">
      <c r="A18" s="105" t="s">
        <v>361</v>
      </c>
      <c r="B18" s="108"/>
      <c r="C18" s="109"/>
      <c r="D18" s="122" t="s">
        <v>219</v>
      </c>
      <c r="E18" s="27" t="s">
        <v>330</v>
      </c>
      <c r="F18" s="27"/>
      <c r="G18" s="169">
        <f>$G$17</f>
        <v>0</v>
      </c>
      <c r="H18" s="27"/>
      <c r="I18" s="123" cm="1">
        <f t="array" ref="I18">_xll.GetData("CYFAcct","FSDetail='"&amp;E18&amp;"'","Acct_FSDetail")</f>
        <v>32900</v>
      </c>
      <c r="J18" s="27"/>
      <c r="K18" s="27"/>
      <c r="L18" s="27"/>
      <c r="M18" s="122" t="str">
        <f t="shared" ref="M18:M19" si="0">O18&amp;" - "&amp;Q18</f>
        <v>Default - OP - Other</v>
      </c>
      <c r="O18" s="122" t="str">
        <f>_xll.GetData(O$3,"Dept = "&amp;G18,,"&lt;&lt;&lt;Invalid Dept")</f>
        <v>Default</v>
      </c>
      <c r="Q18" s="122" t="str">
        <f>_xll.GetData(Q$3,"Acct = "&amp;I18,," Invalid Account Number")</f>
        <v>OP - Other</v>
      </c>
    </row>
    <row r="19" spans="1:17" ht="18" thickTop="1" thickBot="1">
      <c r="B19" s="108"/>
      <c r="C19" s="109"/>
      <c r="D19" s="122" t="s">
        <v>220</v>
      </c>
      <c r="E19" s="27" t="s">
        <v>331</v>
      </c>
      <c r="F19" s="27"/>
      <c r="G19" s="169">
        <f>$G$17</f>
        <v>0</v>
      </c>
      <c r="H19" s="27"/>
      <c r="I19" s="123" cm="1">
        <f t="array" ref="I19">_xll.GetData("CYFAcct","FSDetail='"&amp;E19&amp;"'","Acct_FSDetail")</f>
        <v>34000</v>
      </c>
      <c r="J19" s="27"/>
      <c r="K19" s="27"/>
      <c r="L19" s="27"/>
      <c r="M19" s="122" t="str">
        <f t="shared" si="0"/>
        <v>Default - Professional Services</v>
      </c>
      <c r="N19" s="27"/>
      <c r="O19" s="122" t="str">
        <f>_xll.GetData(O$3,"Dept = "&amp;G19,,"&lt;&lt;&lt;Invalid Dept")</f>
        <v>Default</v>
      </c>
      <c r="Q19" s="122" t="str">
        <f>_xll.GetData(Q$3,"Acct = "&amp;I19,," Invalid Account Number")</f>
        <v>Professional Services</v>
      </c>
    </row>
    <row r="20" spans="1:17" ht="5.0999999999999996" customHeight="1" thickTop="1">
      <c r="B20" s="108"/>
      <c r="C20" s="109"/>
      <c r="D20" s="31"/>
      <c r="E20" s="27"/>
      <c r="F20" s="27"/>
      <c r="G20" s="88"/>
      <c r="H20" s="27"/>
      <c r="I20" s="88"/>
      <c r="J20" s="27"/>
      <c r="K20" s="27"/>
      <c r="L20" s="27"/>
      <c r="M20" s="27"/>
      <c r="N20" s="32"/>
      <c r="O20" s="32"/>
      <c r="P20" s="32"/>
    </row>
    <row r="21" spans="1:17" ht="16.8">
      <c r="B21" s="108"/>
      <c r="C21" s="109"/>
      <c r="D21" s="94" t="s">
        <v>221</v>
      </c>
      <c r="L21" s="32"/>
      <c r="M21" s="33"/>
      <c r="N21" s="33"/>
      <c r="O21" s="32"/>
      <c r="P21" s="32"/>
    </row>
    <row r="22" spans="1:17" ht="5.0999999999999996" customHeight="1">
      <c r="B22" s="108"/>
      <c r="C22" s="109"/>
      <c r="D22" s="30"/>
    </row>
    <row r="23" spans="1:17" ht="17.399999999999999" thickBot="1">
      <c r="B23" s="108"/>
      <c r="C23" s="109"/>
      <c r="D23" s="98" t="s">
        <v>222</v>
      </c>
    </row>
    <row r="24" spans="1:17" ht="18" thickTop="1" thickBot="1">
      <c r="B24" s="108"/>
      <c r="C24" s="109"/>
      <c r="D24" s="122" t="s">
        <v>223</v>
      </c>
      <c r="E24" s="23" t="s">
        <v>332</v>
      </c>
      <c r="G24" s="169">
        <f t="shared" ref="G24:G27" si="1">$G$17</f>
        <v>0</v>
      </c>
      <c r="H24" s="27"/>
      <c r="I24" s="123" cm="1">
        <f t="array" ref="I24">_xll.GetData("CYFAcct","FSDetail='"&amp;E24&amp;"'","Acct_FSDetail")</f>
        <v>59999</v>
      </c>
      <c r="M24" s="122" t="str">
        <f t="shared" ref="M24:M27" si="2">O24&amp;" - "&amp;Q24</f>
        <v>Default - Allocated To Dept-Deductions</v>
      </c>
      <c r="N24" s="38"/>
      <c r="O24" s="122" t="str">
        <f>_xll.GetData(O$3,"Dept = "&amp;G24,,"&lt;&lt;&lt;Invalid Dept")</f>
        <v>Default</v>
      </c>
      <c r="P24" s="32"/>
      <c r="Q24" s="122" t="str">
        <f>_xll.GetData(Q$3,"Acct = "&amp;I24,," Invalid Account Number")</f>
        <v>Allocated To Dept-Deductions</v>
      </c>
    </row>
    <row r="25" spans="1:17" ht="18" thickTop="1" thickBot="1">
      <c r="B25" s="108"/>
      <c r="C25" s="109"/>
      <c r="D25" s="122" t="s">
        <v>224</v>
      </c>
      <c r="E25" s="23" t="s">
        <v>334</v>
      </c>
      <c r="G25" s="169">
        <f t="shared" si="1"/>
        <v>0</v>
      </c>
      <c r="H25" s="27"/>
      <c r="I25" s="123" cm="1">
        <f t="array" ref="I25">_xll.GetData("CYFAcct","FSDetail='"&amp;E25&amp;"'","Acct_FSDetail")</f>
        <v>52880</v>
      </c>
      <c r="M25" s="122" t="str">
        <f t="shared" si="2"/>
        <v>Default - Employee Discount</v>
      </c>
      <c r="N25" s="38"/>
      <c r="O25" s="122" t="str">
        <f>_xll.GetData(O$3,"Dept = "&amp;G25,,"&lt;&lt;&lt;Invalid Dept")</f>
        <v>Default</v>
      </c>
      <c r="P25" s="32"/>
      <c r="Q25" s="122" t="str">
        <f>_xll.GetData(Q$3,"Acct = "&amp;I25,," Invalid Account Number")</f>
        <v>Employee Discount</v>
      </c>
    </row>
    <row r="26" spans="1:17" ht="18" thickTop="1" thickBot="1">
      <c r="B26" s="108"/>
      <c r="C26" s="109"/>
      <c r="D26" s="122" t="s">
        <v>225</v>
      </c>
      <c r="E26" s="23" t="s">
        <v>335</v>
      </c>
      <c r="G26" s="169">
        <f t="shared" si="1"/>
        <v>0</v>
      </c>
      <c r="H26" s="27"/>
      <c r="I26" s="123" cm="1">
        <f t="array" ref="I26">_xll.GetData("CYFAcct","FSDetail='"&amp;E26&amp;"'","Acct_FSDetail")</f>
        <v>52810</v>
      </c>
      <c r="M26" s="122" t="str">
        <f t="shared" si="2"/>
        <v>Default - Charity Discounts</v>
      </c>
      <c r="N26" s="38"/>
      <c r="O26" s="122" t="str">
        <f>_xll.GetData(O$3,"Dept = "&amp;G26,,"&lt;&lt;&lt;Invalid Dept")</f>
        <v>Default</v>
      </c>
      <c r="P26" s="32"/>
      <c r="Q26" s="122" t="str">
        <f>_xll.GetData(Q$3,"Acct = "&amp;I26,," Invalid Account Number")</f>
        <v>Charity Discounts</v>
      </c>
    </row>
    <row r="27" spans="1:17" ht="18" thickTop="1" thickBot="1">
      <c r="B27" s="108"/>
      <c r="C27" s="109"/>
      <c r="D27" s="122" t="s">
        <v>226</v>
      </c>
      <c r="E27" s="23" t="s">
        <v>336</v>
      </c>
      <c r="G27" s="169">
        <f t="shared" si="1"/>
        <v>0</v>
      </c>
      <c r="H27" s="27"/>
      <c r="I27" s="123" cm="1">
        <f t="array" ref="I27">_xll.GetData("CYFAcct","FSDetail='"&amp;E27&amp;"'","Acct_FSDetail")</f>
        <v>52500</v>
      </c>
      <c r="M27" s="122" t="str">
        <f t="shared" si="2"/>
        <v>Default - Bad Debt</v>
      </c>
      <c r="N27" s="38"/>
      <c r="O27" s="122" t="str">
        <f>_xll.GetData(O$3,"Dept = "&amp;G27,,"&lt;&lt;&lt;Invalid Dept")</f>
        <v>Default</v>
      </c>
      <c r="P27" s="32"/>
      <c r="Q27" s="122" t="str">
        <f>_xll.GetData(Q$3,"Acct = "&amp;I27,," Invalid Account Number")</f>
        <v>Bad Debt</v>
      </c>
    </row>
    <row r="28" spans="1:17" ht="5.0999999999999996" customHeight="1" thickTop="1">
      <c r="B28" s="108"/>
      <c r="C28" s="109"/>
      <c r="D28" s="31"/>
    </row>
    <row r="29" spans="1:17" ht="16.8">
      <c r="B29" s="108"/>
      <c r="C29" s="109"/>
      <c r="D29" s="94" t="s">
        <v>227</v>
      </c>
    </row>
    <row r="30" spans="1:17" ht="5.0999999999999996" customHeight="1">
      <c r="B30" s="108"/>
      <c r="C30" s="109"/>
      <c r="D30" s="30"/>
    </row>
    <row r="31" spans="1:17" ht="17.399999999999999" thickBot="1">
      <c r="B31" s="108"/>
      <c r="C31" s="109"/>
      <c r="D31" s="94" t="s">
        <v>228</v>
      </c>
    </row>
    <row r="32" spans="1:17" ht="18" thickTop="1" thickBot="1">
      <c r="B32" s="108"/>
      <c r="C32" s="109"/>
      <c r="D32" s="122" t="s">
        <v>229</v>
      </c>
      <c r="E32" s="23" t="s">
        <v>337</v>
      </c>
      <c r="G32" s="169">
        <f>$G$17</f>
        <v>0</v>
      </c>
      <c r="H32" s="27"/>
      <c r="I32" s="123" cm="1">
        <f t="array" ref="I32">_xll.GetData("CYFAcct","FSDetail='"&amp;E32&amp;"'","Acct_FSDetail")</f>
        <v>53880</v>
      </c>
      <c r="M32" s="122" t="str">
        <f t="shared" ref="M32" si="3">O32&amp;" - "&amp;Q32</f>
        <v>Default - Miscellaneous</v>
      </c>
      <c r="N32" s="38"/>
      <c r="O32" s="122" t="str">
        <f>_xll.GetData(O$3,"Dept = "&amp;G32,,"&lt;&lt;&lt;Invalid Dept")</f>
        <v>Default</v>
      </c>
      <c r="P32" s="32"/>
      <c r="Q32" s="122" t="str">
        <f>_xll.GetData(Q$3,"Acct = "&amp;I32,," Invalid Account Number")</f>
        <v>Miscellaneous</v>
      </c>
    </row>
    <row r="33" spans="2:17" ht="17.399999999999999" thickTop="1">
      <c r="B33" s="108"/>
      <c r="C33" s="109"/>
      <c r="D33" s="94" t="s">
        <v>230</v>
      </c>
    </row>
    <row r="34" spans="2:17" ht="16.8">
      <c r="B34" s="108"/>
      <c r="C34" s="109"/>
      <c r="D34" s="30"/>
    </row>
    <row r="35" spans="2:17" s="179" customFormat="1" ht="17.399999999999999" thickBot="1">
      <c r="B35" s="176"/>
      <c r="C35" s="177"/>
      <c r="D35" s="178" t="s">
        <v>249</v>
      </c>
      <c r="E35" s="179" t="s">
        <v>495</v>
      </c>
      <c r="G35" s="180">
        <f>$G$17</f>
        <v>0</v>
      </c>
      <c r="H35" s="181"/>
      <c r="I35" s="182" cm="1">
        <f t="array" ref="I35">_xll.GetData("CYFAcct","FSDetail='"&amp;E35&amp;"'","Acct_FSDetail")</f>
        <v>960100</v>
      </c>
      <c r="M35" s="178" t="str">
        <f t="shared" ref="M35" si="4">O35&amp;" - "&amp;Q35</f>
        <v>Default - Hours - Regular</v>
      </c>
      <c r="N35" s="181"/>
      <c r="O35" s="178" t="str">
        <f>_xll.GetData(O$3,"Dept = "&amp;G35,,"&lt;&lt;&lt;Invalid Dept")</f>
        <v>Default</v>
      </c>
      <c r="Q35" s="178" t="str">
        <f>_xll.GetData(Q$3,"Acct = "&amp;I35,," Invalid Account Number")</f>
        <v>Hours - Regular</v>
      </c>
    </row>
    <row r="36" spans="2:17" s="24" customFormat="1" ht="18" thickTop="1" thickBot="1">
      <c r="B36" s="183"/>
      <c r="C36" s="184"/>
      <c r="D36" s="185" t="s">
        <v>514</v>
      </c>
      <c r="E36" s="24" t="s">
        <v>517</v>
      </c>
      <c r="G36" s="186">
        <f t="shared" ref="G36:G38" si="5">$G$17</f>
        <v>0</v>
      </c>
      <c r="H36" s="187"/>
      <c r="I36" s="188" cm="1">
        <f t="array" ref="I36">_xll.GetData("CYFAcct","FSDetail='"&amp;E36&amp;"'","Acct_FSDetail")</f>
        <v>960006</v>
      </c>
      <c r="M36" s="185" t="str">
        <f t="shared" ref="M36:M38" si="6">O36&amp;" - "&amp;Q36</f>
        <v>Default - Hours - Physician</v>
      </c>
      <c r="N36" s="187"/>
      <c r="O36" s="185" t="str">
        <f>_xll.GetData(O$3,"Dept = "&amp;G36,,"&lt;&lt;&lt;Invalid Dept")</f>
        <v>Default</v>
      </c>
      <c r="Q36" s="185" t="str">
        <f>_xll.GetData(Q$3,"Acct = "&amp;I36,," Invalid Account Number")</f>
        <v>Hours - Physician</v>
      </c>
    </row>
    <row r="37" spans="2:17" s="24" customFormat="1" ht="18" thickTop="1" thickBot="1">
      <c r="B37" s="183"/>
      <c r="C37" s="184"/>
      <c r="D37" s="185" t="s">
        <v>515</v>
      </c>
      <c r="E37" s="24" t="s">
        <v>518</v>
      </c>
      <c r="G37" s="186">
        <f t="shared" si="5"/>
        <v>0</v>
      </c>
      <c r="H37" s="187"/>
      <c r="I37" s="188" cm="1">
        <f t="array" ref="I37">_xll.GetData("CYFAcct","FSDetail='"&amp;E37&amp;"'","Acct_FSDetail")</f>
        <v>960300</v>
      </c>
      <c r="M37" s="185" t="str">
        <f t="shared" si="6"/>
        <v>Default - Hours - MidLevel</v>
      </c>
      <c r="N37" s="187"/>
      <c r="O37" s="185" t="str">
        <f>_xll.GetData(O$3,"Dept = "&amp;G37,,"&lt;&lt;&lt;Invalid Dept")</f>
        <v>Default</v>
      </c>
      <c r="Q37" s="185" t="str">
        <f>_xll.GetData(Q$3,"Acct = "&amp;I37,," Invalid Account Number")</f>
        <v>Hours - MidLevel</v>
      </c>
    </row>
    <row r="38" spans="2:17" s="192" customFormat="1" ht="17.399999999999999" thickTop="1">
      <c r="B38" s="189"/>
      <c r="C38" s="190"/>
      <c r="D38" s="191" t="s">
        <v>516</v>
      </c>
      <c r="E38" s="192" t="s">
        <v>498</v>
      </c>
      <c r="G38" s="193">
        <f t="shared" si="5"/>
        <v>0</v>
      </c>
      <c r="H38" s="194"/>
      <c r="I38" s="195" cm="1">
        <f t="array" ref="I38">_xll.GetData("CYFAcct","FSDetail='"&amp;E38&amp;"'","Acct_FSDetail")</f>
        <v>960600</v>
      </c>
      <c r="M38" s="191" t="str">
        <f t="shared" si="6"/>
        <v>Default - Hours - Contract Labor</v>
      </c>
      <c r="N38" s="194"/>
      <c r="O38" s="191" t="str">
        <f>_xll.GetData(O$3,"Dept = "&amp;G38,,"&lt;&lt;&lt;Invalid Dept")</f>
        <v>Default</v>
      </c>
      <c r="Q38" s="191" t="str">
        <f>_xll.GetData(Q$3,"Acct = "&amp;I38,," Invalid Account Number")</f>
        <v>Hours - Contract Labor</v>
      </c>
    </row>
    <row r="39" spans="2:17" s="32" customFormat="1" ht="17.399999999999999" thickBot="1">
      <c r="B39" s="108"/>
      <c r="C39" s="109"/>
      <c r="D39" s="122"/>
      <c r="G39" s="174"/>
      <c r="H39" s="38"/>
      <c r="I39" s="175"/>
      <c r="M39" s="122"/>
      <c r="N39" s="38"/>
      <c r="O39" s="122"/>
      <c r="Q39" s="122"/>
    </row>
    <row r="40" spans="2:17" s="25" customFormat="1" ht="18" thickTop="1" thickBot="1">
      <c r="B40" s="170"/>
      <c r="C40" s="171"/>
      <c r="D40" s="172" t="s">
        <v>231</v>
      </c>
      <c r="G40" s="173"/>
      <c r="I40" s="173"/>
    </row>
    <row r="41" spans="2:17" ht="18" thickTop="1" thickBot="1">
      <c r="B41" s="108"/>
      <c r="C41" s="109"/>
      <c r="D41" s="122" t="s">
        <v>232</v>
      </c>
      <c r="E41" s="23" t="s">
        <v>338</v>
      </c>
      <c r="G41" s="169">
        <f t="shared" ref="G41:G58" si="7">$G$17</f>
        <v>0</v>
      </c>
      <c r="H41" s="38"/>
      <c r="I41" s="123" cm="1">
        <f t="array" ref="I41">_xll.GetData("CYFAcct","FSDetail='"&amp;E41&amp;"'","Acct_FSDetail")</f>
        <v>60100</v>
      </c>
      <c r="M41" s="122" t="str">
        <f t="shared" ref="M41:M58" si="8">O41&amp;" - "&amp;Q41</f>
        <v>Default - Salaries - Regular</v>
      </c>
      <c r="N41" s="38"/>
      <c r="O41" s="122" t="str">
        <f>_xll.GetData(O$3,"Dept = "&amp;G41,,"&lt;&lt;&lt;Invalid Dept")</f>
        <v>Default</v>
      </c>
      <c r="P41" s="32"/>
      <c r="Q41" s="122" t="str">
        <f>_xll.GetData(Q$3,"Acct = "&amp;I41,," Invalid Account Number")</f>
        <v>Salaries - Regular</v>
      </c>
    </row>
    <row r="42" spans="2:17" s="32" customFormat="1" ht="18" thickTop="1" thickBot="1">
      <c r="B42" s="108"/>
      <c r="C42" s="109"/>
      <c r="D42" s="122" t="s">
        <v>519</v>
      </c>
      <c r="E42" s="32" t="s">
        <v>521</v>
      </c>
      <c r="G42" s="169">
        <f t="shared" si="7"/>
        <v>0</v>
      </c>
      <c r="H42" s="38"/>
      <c r="I42" s="123" cm="1">
        <f t="array" ref="I42">_xll.GetData("CYFAcct","FSDetail='"&amp;E42&amp;"'","Acct_FSDetail")</f>
        <v>60200</v>
      </c>
      <c r="M42" s="122" t="str">
        <f t="shared" ref="M42:M43" si="9">O42&amp;" - "&amp;Q42</f>
        <v>Default - Salaries - Provider</v>
      </c>
      <c r="N42" s="38"/>
      <c r="O42" s="122" t="str">
        <f>_xll.GetData(O$3,"Dept = "&amp;G42,,"&lt;&lt;&lt;Invalid Dept")</f>
        <v>Default</v>
      </c>
      <c r="Q42" s="122" t="str">
        <f>_xll.GetData(Q$3,"Acct = "&amp;I42,," Invalid Account Number")</f>
        <v>Salaries - Provider</v>
      </c>
    </row>
    <row r="43" spans="2:17" s="32" customFormat="1" ht="18" thickTop="1" thickBot="1">
      <c r="B43" s="108"/>
      <c r="C43" s="109"/>
      <c r="D43" s="122" t="s">
        <v>520</v>
      </c>
      <c r="E43" s="32" t="s">
        <v>522</v>
      </c>
      <c r="G43" s="169">
        <f t="shared" si="7"/>
        <v>0</v>
      </c>
      <c r="H43" s="38"/>
      <c r="I43" s="123" cm="1">
        <f t="array" ref="I43">_xll.GetData("CYFAcct","FSDetail='"&amp;E43&amp;"'","Acct_FSDetail")</f>
        <v>60300</v>
      </c>
      <c r="M43" s="122" t="str">
        <f t="shared" si="9"/>
        <v>Default - Salaries - MidLevel</v>
      </c>
      <c r="N43" s="38"/>
      <c r="O43" s="122" t="str">
        <f>_xll.GetData(O$3,"Dept = "&amp;G43,,"&lt;&lt;&lt;Invalid Dept")</f>
        <v>Default</v>
      </c>
      <c r="Q43" s="122" t="str">
        <f>_xll.GetData(Q$3,"Acct = "&amp;I43,," Invalid Account Number")</f>
        <v>Salaries - MidLevel</v>
      </c>
    </row>
    <row r="44" spans="2:17" ht="18" thickTop="1" thickBot="1">
      <c r="B44" s="108"/>
      <c r="C44" s="109"/>
      <c r="D44" s="122" t="s">
        <v>233</v>
      </c>
      <c r="E44" s="23" t="s">
        <v>339</v>
      </c>
      <c r="G44" s="169">
        <f t="shared" si="7"/>
        <v>0</v>
      </c>
      <c r="H44" s="38"/>
      <c r="I44" s="123" cm="1">
        <f t="array" ref="I44">_xll.GetData("CYFAcct","FSDetail='"&amp;E44&amp;"'","Acct_FSDetail")</f>
        <v>61500</v>
      </c>
      <c r="M44" s="122" t="str">
        <f t="shared" si="8"/>
        <v>Default - Employee Benefits - Other</v>
      </c>
      <c r="N44" s="38"/>
      <c r="O44" s="122" t="str">
        <f>_xll.GetData(O$3,"Dept = "&amp;G44,,"&lt;&lt;&lt;Invalid Dept")</f>
        <v>Default</v>
      </c>
      <c r="P44" s="32"/>
      <c r="Q44" s="122" t="str">
        <f>_xll.GetData(Q$3,"Acct = "&amp;I44,," Invalid Account Number")</f>
        <v>Employee Benefits - Other</v>
      </c>
    </row>
    <row r="45" spans="2:17" ht="18" thickTop="1" thickBot="1">
      <c r="B45" s="108"/>
      <c r="C45" s="109"/>
      <c r="D45" s="122" t="s">
        <v>234</v>
      </c>
      <c r="E45" s="23" t="s">
        <v>340</v>
      </c>
      <c r="G45" s="169">
        <f t="shared" si="7"/>
        <v>0</v>
      </c>
      <c r="H45" s="38"/>
      <c r="I45" s="123" cm="1">
        <f t="array" ref="I45">_xll.GetData("CYFAcct","FSDetail='"&amp;E45&amp;"'","Acct_FSDetail")</f>
        <v>60600</v>
      </c>
      <c r="M45" s="122" t="str">
        <f t="shared" si="8"/>
        <v>Default - Salaries - Contract Labor</v>
      </c>
      <c r="N45" s="38"/>
      <c r="O45" s="122" t="str">
        <f>_xll.GetData(O$3,"Dept = "&amp;G45,,"&lt;&lt;&lt;Invalid Dept")</f>
        <v>Default</v>
      </c>
      <c r="P45" s="32"/>
      <c r="Q45" s="122" t="str">
        <f>_xll.GetData(Q$3,"Acct = "&amp;I45,," Invalid Account Number")</f>
        <v>Salaries - Contract Labor</v>
      </c>
    </row>
    <row r="46" spans="2:17" ht="18" thickTop="1" thickBot="1">
      <c r="B46" s="108"/>
      <c r="C46" s="109"/>
      <c r="D46" s="122" t="s">
        <v>235</v>
      </c>
      <c r="E46" s="23" t="s">
        <v>341</v>
      </c>
      <c r="G46" s="169">
        <f t="shared" si="7"/>
        <v>0</v>
      </c>
      <c r="H46" s="38"/>
      <c r="I46" s="123" cm="1">
        <f t="array" ref="I46">_xll.GetData("CYFAcct","FSDetail='"&amp;E46&amp;"'","Acct_FSDetail")</f>
        <v>63140</v>
      </c>
      <c r="M46" s="122" t="str">
        <f t="shared" si="8"/>
        <v>Default - Fees - Other</v>
      </c>
      <c r="N46" s="38"/>
      <c r="O46" s="122" t="str">
        <f>_xll.GetData(O$3,"Dept = "&amp;G46,,"&lt;&lt;&lt;Invalid Dept")</f>
        <v>Default</v>
      </c>
      <c r="P46" s="32"/>
      <c r="Q46" s="122" t="str">
        <f>_xll.GetData(Q$3,"Acct = "&amp;I46,," Invalid Account Number")</f>
        <v>Fees - Other</v>
      </c>
    </row>
    <row r="47" spans="2:17" ht="18" thickTop="1" thickBot="1">
      <c r="B47" s="108"/>
      <c r="C47" s="109"/>
      <c r="D47" s="122" t="s">
        <v>236</v>
      </c>
      <c r="E47" s="23" t="s">
        <v>342</v>
      </c>
      <c r="G47" s="169">
        <f t="shared" si="7"/>
        <v>0</v>
      </c>
      <c r="H47" s="38"/>
      <c r="I47" s="123" cm="1">
        <f t="array" ref="I47">_xll.GetData("CYFAcct","FSDetail='"&amp;E47&amp;"'","Acct_FSDetail")</f>
        <v>63400</v>
      </c>
      <c r="M47" s="122" t="str">
        <f t="shared" si="8"/>
        <v>Default - Other Purchased Services</v>
      </c>
      <c r="N47" s="38"/>
      <c r="O47" s="122" t="str">
        <f>_xll.GetData(O$3,"Dept = "&amp;G47,,"&lt;&lt;&lt;Invalid Dept")</f>
        <v>Default</v>
      </c>
      <c r="P47" s="32"/>
      <c r="Q47" s="122" t="str">
        <f>_xll.GetData(Q$3,"Acct = "&amp;I47,," Invalid Account Number")</f>
        <v>Other Purchased Services</v>
      </c>
    </row>
    <row r="48" spans="2:17" ht="18" thickTop="1" thickBot="1">
      <c r="B48" s="108"/>
      <c r="C48" s="109"/>
      <c r="D48" s="122" t="s">
        <v>237</v>
      </c>
      <c r="E48" s="23" t="s">
        <v>343</v>
      </c>
      <c r="G48" s="169">
        <f t="shared" si="7"/>
        <v>0</v>
      </c>
      <c r="H48" s="38"/>
      <c r="I48" s="123" cm="1">
        <f t="array" ref="I48">_xll.GetData("CYFAcct","FSDetail='"&amp;E48&amp;"'","Acct_FSDetail")</f>
        <v>62140</v>
      </c>
      <c r="M48" s="122" t="str">
        <f t="shared" si="8"/>
        <v>Default - Supplies - Med Surg Billable</v>
      </c>
      <c r="N48" s="38"/>
      <c r="O48" s="122" t="str">
        <f>_xll.GetData(O$3,"Dept = "&amp;G48,,"&lt;&lt;&lt;Invalid Dept")</f>
        <v>Default</v>
      </c>
      <c r="P48" s="32"/>
      <c r="Q48" s="122" t="str">
        <f>_xll.GetData(Q$3,"Acct = "&amp;I48,," Invalid Account Number")</f>
        <v>Supplies - Med Surg Billable</v>
      </c>
    </row>
    <row r="49" spans="2:17" ht="18" thickTop="1" thickBot="1">
      <c r="B49" s="108"/>
      <c r="C49" s="109"/>
      <c r="D49" s="122" t="s">
        <v>238</v>
      </c>
      <c r="E49" s="23" t="s">
        <v>344</v>
      </c>
      <c r="G49" s="169">
        <f t="shared" si="7"/>
        <v>0</v>
      </c>
      <c r="H49" s="38"/>
      <c r="I49" s="123" cm="1">
        <f t="array" ref="I49">_xll.GetData("CYFAcct","FSDetail='"&amp;E49&amp;"'","Acct_FSDetail")</f>
        <v>62200</v>
      </c>
      <c r="M49" s="122" t="str">
        <f t="shared" si="8"/>
        <v>Default - Supplies - Drugs &amp; Pharmaceuticals</v>
      </c>
      <c r="N49" s="38"/>
      <c r="O49" s="122" t="str">
        <f>_xll.GetData(O$3,"Dept = "&amp;G49,,"&lt;&lt;&lt;Invalid Dept")</f>
        <v>Default</v>
      </c>
      <c r="P49" s="32"/>
      <c r="Q49" s="122" t="str">
        <f>_xll.GetData(Q$3,"Acct = "&amp;I49,," Invalid Account Number")</f>
        <v>Supplies - Drugs &amp; Pharmaceuticals</v>
      </c>
    </row>
    <row r="50" spans="2:17" ht="18" thickTop="1" thickBot="1">
      <c r="B50" s="108"/>
      <c r="C50" s="109"/>
      <c r="D50" s="122" t="s">
        <v>239</v>
      </c>
      <c r="E50" s="23" t="s">
        <v>345</v>
      </c>
      <c r="G50" s="169">
        <f t="shared" si="7"/>
        <v>0</v>
      </c>
      <c r="H50" s="38"/>
      <c r="I50" s="123" cm="1">
        <f t="array" ref="I50">_xll.GetData("CYFAcct","FSDetail='"&amp;E50&amp;"'","Acct_FSDetail")</f>
        <v>62100</v>
      </c>
      <c r="M50" s="122" t="str">
        <f t="shared" si="8"/>
        <v>Default - Supplies - General</v>
      </c>
      <c r="N50" s="38"/>
      <c r="O50" s="122" t="str">
        <f>_xll.GetData(O$3,"Dept = "&amp;G50,,"&lt;&lt;&lt;Invalid Dept")</f>
        <v>Default</v>
      </c>
      <c r="P50" s="32"/>
      <c r="Q50" s="122" t="str">
        <f>_xll.GetData(Q$3,"Acct = "&amp;I50,," Invalid Account Number")</f>
        <v>Supplies - General</v>
      </c>
    </row>
    <row r="51" spans="2:17" ht="18" thickTop="1" thickBot="1">
      <c r="B51" s="108"/>
      <c r="C51" s="109"/>
      <c r="D51" s="122" t="s">
        <v>240</v>
      </c>
      <c r="E51" s="23" t="s">
        <v>346</v>
      </c>
      <c r="G51" s="169">
        <f t="shared" si="7"/>
        <v>0</v>
      </c>
      <c r="H51" s="38"/>
      <c r="I51" s="123" cm="1">
        <f t="array" ref="I51">_xll.GetData("CYFAcct","FSDetail='"&amp;E51&amp;"'","Acct_FSDetail")</f>
        <v>71100</v>
      </c>
      <c r="M51" s="122" t="str">
        <f t="shared" si="8"/>
        <v>Default - Depreciation - Equipment</v>
      </c>
      <c r="N51" s="38"/>
      <c r="O51" s="122" t="str">
        <f>_xll.GetData(O$3,"Dept = "&amp;G51,,"&lt;&lt;&lt;Invalid Dept")</f>
        <v>Default</v>
      </c>
      <c r="P51" s="32"/>
      <c r="Q51" s="122" t="str">
        <f>_xll.GetData(Q$3,"Acct = "&amp;I51,," Invalid Account Number")</f>
        <v>Depreciation - Equipment</v>
      </c>
    </row>
    <row r="52" spans="2:17" ht="18" thickTop="1" thickBot="1">
      <c r="B52" s="108"/>
      <c r="C52" s="109"/>
      <c r="D52" s="122" t="s">
        <v>241</v>
      </c>
      <c r="E52" s="23" t="s">
        <v>347</v>
      </c>
      <c r="G52" s="169">
        <f t="shared" si="7"/>
        <v>0</v>
      </c>
      <c r="H52" s="38"/>
      <c r="I52" s="123" cm="1">
        <f t="array" ref="I52">_xll.GetData("CYFAcct","FSDetail='"&amp;E52&amp;"'","Acct_FSDetail")</f>
        <v>65100</v>
      </c>
      <c r="M52" s="122" t="str">
        <f t="shared" si="8"/>
        <v>Default - Building Rent</v>
      </c>
      <c r="N52" s="38"/>
      <c r="O52" s="122" t="str">
        <f>_xll.GetData(O$3,"Dept = "&amp;G52,,"&lt;&lt;&lt;Invalid Dept")</f>
        <v>Default</v>
      </c>
      <c r="P52" s="32"/>
      <c r="Q52" s="122" t="str">
        <f>_xll.GetData(Q$3,"Acct = "&amp;I52,," Invalid Account Number")</f>
        <v>Building Rent</v>
      </c>
    </row>
    <row r="53" spans="2:17" ht="18" thickTop="1" thickBot="1">
      <c r="B53" s="108"/>
      <c r="C53" s="109"/>
      <c r="D53" s="122" t="s">
        <v>242</v>
      </c>
      <c r="E53" s="23" t="s">
        <v>348</v>
      </c>
      <c r="G53" s="169">
        <f t="shared" si="7"/>
        <v>0</v>
      </c>
      <c r="H53" s="38"/>
      <c r="I53" s="123" cm="1">
        <f t="array" ref="I53">_xll.GetData("CYFAcct","FSDetail='"&amp;E53&amp;"'","Acct_FSDetail")</f>
        <v>64200</v>
      </c>
      <c r="M53" s="122" t="str">
        <f t="shared" si="8"/>
        <v>Default - Contract Maintenance</v>
      </c>
      <c r="N53" s="38"/>
      <c r="O53" s="122" t="str">
        <f>_xll.GetData(O$3,"Dept = "&amp;G53,,"&lt;&lt;&lt;Invalid Dept")</f>
        <v>Default</v>
      </c>
      <c r="P53" s="32"/>
      <c r="Q53" s="122" t="str">
        <f>_xll.GetData(Q$3,"Acct = "&amp;I53,," Invalid Account Number")</f>
        <v>Contract Maintenance</v>
      </c>
    </row>
    <row r="54" spans="2:17" ht="18" thickTop="1" thickBot="1">
      <c r="B54" s="108"/>
      <c r="C54" s="109"/>
      <c r="D54" s="122" t="s">
        <v>243</v>
      </c>
      <c r="E54" s="23" t="s">
        <v>349</v>
      </c>
      <c r="G54" s="169">
        <f t="shared" si="7"/>
        <v>0</v>
      </c>
      <c r="H54" s="38"/>
      <c r="I54" s="123" cm="1">
        <f t="array" ref="I54">_xll.GetData("CYFAcct","FSDetail='"&amp;E54&amp;"'","Acct_FSDetail")</f>
        <v>66100</v>
      </c>
      <c r="M54" s="122" t="str">
        <f t="shared" si="8"/>
        <v>Default - Utilities</v>
      </c>
      <c r="N54" s="38"/>
      <c r="O54" s="122" t="str">
        <f>_xll.GetData(O$3,"Dept = "&amp;G54,,"&lt;&lt;&lt;Invalid Dept")</f>
        <v>Default</v>
      </c>
      <c r="P54" s="32"/>
      <c r="Q54" s="122" t="str">
        <f>_xll.GetData(Q$3,"Acct = "&amp;I54,," Invalid Account Number")</f>
        <v>Utilities</v>
      </c>
    </row>
    <row r="55" spans="2:17" ht="18" thickTop="1" thickBot="1">
      <c r="B55" s="108"/>
      <c r="C55" s="109"/>
      <c r="D55" s="122" t="s">
        <v>244</v>
      </c>
      <c r="E55" s="23" t="s">
        <v>350</v>
      </c>
      <c r="G55" s="169">
        <f t="shared" si="7"/>
        <v>0</v>
      </c>
      <c r="H55" s="38"/>
      <c r="I55" s="123" cm="1">
        <f t="array" ref="I55">_xll.GetData("CYFAcct","FSDetail='"&amp;E55&amp;"'","Acct_FSDetail")</f>
        <v>69700</v>
      </c>
      <c r="M55" s="122" t="str">
        <f t="shared" si="8"/>
        <v>Default - Insurance</v>
      </c>
      <c r="N55" s="38"/>
      <c r="O55" s="122" t="str">
        <f>_xll.GetData(O$3,"Dept = "&amp;G55,,"&lt;&lt;&lt;Invalid Dept")</f>
        <v>Default</v>
      </c>
      <c r="P55" s="32"/>
      <c r="Q55" s="122" t="str">
        <f>_xll.GetData(Q$3,"Acct = "&amp;I55,," Invalid Account Number")</f>
        <v>Insurance</v>
      </c>
    </row>
    <row r="56" spans="2:17" ht="18" thickTop="1" thickBot="1">
      <c r="B56" s="108"/>
      <c r="C56" s="109"/>
      <c r="D56" s="122" t="s">
        <v>245</v>
      </c>
      <c r="E56" s="23" t="s">
        <v>351</v>
      </c>
      <c r="G56" s="169">
        <f t="shared" si="7"/>
        <v>0</v>
      </c>
      <c r="H56" s="38"/>
      <c r="I56" s="123" cm="1">
        <f t="array" ref="I56">_xll.GetData("CYFAcct","FSDetail='"&amp;E56&amp;"'","Acct_FSDetail")</f>
        <v>72130</v>
      </c>
      <c r="M56" s="122" t="str">
        <f t="shared" si="8"/>
        <v>Default - Interest - Notes Payable</v>
      </c>
      <c r="N56" s="38"/>
      <c r="O56" s="122" t="str">
        <f>_xll.GetData(O$3,"Dept = "&amp;G56,,"&lt;&lt;&lt;Invalid Dept")</f>
        <v>Default</v>
      </c>
      <c r="P56" s="32"/>
      <c r="Q56" s="122" t="str">
        <f>_xll.GetData(Q$3,"Acct = "&amp;I56,," Invalid Account Number")</f>
        <v>Interest - Notes Payable</v>
      </c>
    </row>
    <row r="57" spans="2:17" ht="18" thickTop="1" thickBot="1">
      <c r="B57" s="108"/>
      <c r="C57" s="109"/>
      <c r="D57" s="122" t="s">
        <v>226</v>
      </c>
      <c r="E57" s="23" t="s">
        <v>352</v>
      </c>
      <c r="G57" s="169">
        <f t="shared" si="7"/>
        <v>0</v>
      </c>
      <c r="H57" s="38"/>
      <c r="I57" s="123" cm="1">
        <f t="array" ref="I57">_xll.GetData("CYFAcct","FSDetail='"&amp;E57&amp;"'","Acct_FSDetail")</f>
        <v>52503</v>
      </c>
      <c r="M57" s="122" t="str">
        <f t="shared" si="8"/>
        <v>Default - Bad Debt Expense</v>
      </c>
      <c r="N57" s="38"/>
      <c r="O57" s="122" t="str">
        <f>_xll.GetData(O$3,"Dept = "&amp;G57,,"&lt;&lt;&lt;Invalid Dept")</f>
        <v>Default</v>
      </c>
      <c r="P57" s="32"/>
      <c r="Q57" s="122" t="str">
        <f>_xll.GetData(Q$3,"Acct = "&amp;I57,," Invalid Account Number")</f>
        <v>Bad Debt Expense</v>
      </c>
    </row>
    <row r="58" spans="2:17" ht="18" thickTop="1" thickBot="1">
      <c r="B58" s="108"/>
      <c r="C58" s="109"/>
      <c r="D58" s="122" t="s">
        <v>246</v>
      </c>
      <c r="E58" s="23" t="s">
        <v>353</v>
      </c>
      <c r="G58" s="169">
        <f t="shared" si="7"/>
        <v>0</v>
      </c>
      <c r="H58" s="38"/>
      <c r="I58" s="123" cm="1">
        <f t="array" ref="I58">_xll.GetData("CYFAcct","FSDetail='"&amp;E58&amp;"'","Acct_FSDetail")</f>
        <v>69900</v>
      </c>
      <c r="M58" s="122" t="str">
        <f t="shared" si="8"/>
        <v>Default - Miscellaneous</v>
      </c>
      <c r="N58" s="38"/>
      <c r="O58" s="122" t="str">
        <f>_xll.GetData(O$3,"Dept = "&amp;G58,,"&lt;&lt;&lt;Invalid Dept")</f>
        <v>Default</v>
      </c>
      <c r="P58" s="32"/>
      <c r="Q58" s="122" t="str">
        <f>_xll.GetData(Q$3,"Acct = "&amp;I58,," Invalid Account Number")</f>
        <v>Miscellaneous</v>
      </c>
    </row>
    <row r="59" spans="2:17" ht="17.399999999999999" thickTop="1">
      <c r="B59" s="108"/>
      <c r="C59" s="109"/>
      <c r="D59" s="94" t="s">
        <v>247</v>
      </c>
    </row>
    <row r="60" spans="2:17" ht="10.199999999999999" customHeight="1">
      <c r="B60" s="108"/>
      <c r="C60" s="109"/>
      <c r="D60" s="34"/>
    </row>
    <row r="61" spans="2:17" ht="16.8">
      <c r="B61" s="108"/>
      <c r="C61" s="109"/>
      <c r="D61" s="98" t="s">
        <v>250</v>
      </c>
    </row>
    <row r="62" spans="2:17" ht="5.0999999999999996" customHeight="1" thickBot="1">
      <c r="B62" s="108"/>
      <c r="C62" s="109"/>
      <c r="D62" s="30"/>
    </row>
    <row r="63" spans="2:17" ht="18" thickTop="1" thickBot="1">
      <c r="B63" s="108"/>
      <c r="C63" s="109"/>
      <c r="D63" s="122" t="s">
        <v>251</v>
      </c>
      <c r="E63" s="23" t="s">
        <v>355</v>
      </c>
      <c r="G63" s="169">
        <f t="shared" ref="G63:G67" si="10">$G$17</f>
        <v>0</v>
      </c>
      <c r="H63" s="27"/>
      <c r="I63" s="123" cm="1">
        <f t="array" ref="I63">_xll.GetData("CYFAcct","FSDetail='"&amp;E63&amp;"'","Acct_FSDetail")</f>
        <v>54515</v>
      </c>
      <c r="M63" s="122" t="str">
        <f t="shared" ref="M63:M67" si="11">O63&amp;" - "&amp;Q63</f>
        <v>Default - Net Assets Rlsd For PPE Purchase</v>
      </c>
      <c r="N63" s="38"/>
      <c r="O63" s="122" t="str">
        <f>_xll.GetData(O$3,"Dept = "&amp;G63,,"&lt;&lt;&lt;Invalid Dept")</f>
        <v>Default</v>
      </c>
      <c r="P63" s="32"/>
      <c r="Q63" s="122" t="str">
        <f>_xll.GetData(Q$3,"Acct = "&amp;I63,," Invalid Account Number")</f>
        <v>Net Assets Rlsd For PPE Purchase</v>
      </c>
    </row>
    <row r="64" spans="2:17" ht="18" thickTop="1" thickBot="1">
      <c r="B64" s="108"/>
      <c r="C64" s="109"/>
      <c r="D64" s="122" t="s">
        <v>252</v>
      </c>
      <c r="E64" s="23" t="s">
        <v>356</v>
      </c>
      <c r="G64" s="169">
        <f t="shared" si="10"/>
        <v>0</v>
      </c>
      <c r="H64" s="27"/>
      <c r="I64" s="123" cm="1">
        <f t="array" ref="I64">_xll.GetData("CYFAcct","FSDetail='"&amp;E64&amp;"'","Acct_FSDetail")</f>
        <v>54517</v>
      </c>
      <c r="M64" s="122" t="str">
        <f t="shared" si="11"/>
        <v>Default - Amer Cancer So Transportation</v>
      </c>
      <c r="N64" s="38"/>
      <c r="O64" s="122" t="str">
        <f>_xll.GetData(O$3,"Dept = "&amp;G64,,"&lt;&lt;&lt;Invalid Dept")</f>
        <v>Default</v>
      </c>
      <c r="P64" s="32"/>
      <c r="Q64" s="122" t="str">
        <f>_xll.GetData(Q$3,"Acct = "&amp;I64,," Invalid Account Number")</f>
        <v>Amer Cancer So Transportation</v>
      </c>
    </row>
    <row r="65" spans="2:17" ht="18" thickTop="1" thickBot="1">
      <c r="B65" s="108"/>
      <c r="C65" s="109"/>
      <c r="D65" s="122" t="s">
        <v>253</v>
      </c>
      <c r="E65" s="23" t="s">
        <v>357</v>
      </c>
      <c r="G65" s="169">
        <f t="shared" si="10"/>
        <v>0</v>
      </c>
      <c r="H65" s="27"/>
      <c r="I65" s="123" cm="1">
        <f t="array" ref="I65">_xll.GetData("CYFAcct","FSDetail='"&amp;E65&amp;"'","Acct_FSDetail")</f>
        <v>54510</v>
      </c>
      <c r="M65" s="122" t="str">
        <f t="shared" si="11"/>
        <v>Default - Investment Fees</v>
      </c>
      <c r="N65" s="38"/>
      <c r="O65" s="122" t="str">
        <f>_xll.GetData(O$3,"Dept = "&amp;G65,,"&lt;&lt;&lt;Invalid Dept")</f>
        <v>Default</v>
      </c>
      <c r="P65" s="32"/>
      <c r="Q65" s="122" t="str">
        <f>_xll.GetData(Q$3,"Acct = "&amp;I65,," Invalid Account Number")</f>
        <v>Investment Fees</v>
      </c>
    </row>
    <row r="66" spans="2:17" ht="18" thickTop="1" thickBot="1">
      <c r="B66" s="108"/>
      <c r="C66" s="109"/>
      <c r="D66" s="122" t="s">
        <v>254</v>
      </c>
      <c r="E66" s="23" t="s">
        <v>358</v>
      </c>
      <c r="G66" s="169">
        <f t="shared" si="10"/>
        <v>0</v>
      </c>
      <c r="H66" s="27"/>
      <c r="I66" s="123" cm="1">
        <f t="array" ref="I66">_xll.GetData("CYFAcct","FSDetail='"&amp;E66&amp;"'","Acct_FSDetail")</f>
        <v>54500</v>
      </c>
      <c r="M66" s="122" t="str">
        <f t="shared" si="11"/>
        <v>Default - Interest Income</v>
      </c>
      <c r="N66" s="38"/>
      <c r="O66" s="122" t="str">
        <f>_xll.GetData(O$3,"Dept = "&amp;G66,,"&lt;&lt;&lt;Invalid Dept")</f>
        <v>Default</v>
      </c>
      <c r="P66" s="32"/>
      <c r="Q66" s="122" t="str">
        <f>_xll.GetData(Q$3,"Acct = "&amp;I66,," Invalid Account Number")</f>
        <v>Interest Income</v>
      </c>
    </row>
    <row r="67" spans="2:17" ht="18" thickTop="1" thickBot="1">
      <c r="B67" s="108"/>
      <c r="C67" s="109"/>
      <c r="D67" s="122" t="s">
        <v>255</v>
      </c>
      <c r="E67" s="23" t="s">
        <v>359</v>
      </c>
      <c r="G67" s="169">
        <f t="shared" si="10"/>
        <v>0</v>
      </c>
      <c r="H67" s="27"/>
      <c r="I67" s="123" cm="1">
        <f t="array" ref="I67">_xll.GetData("CYFAcct","FSDetail='"&amp;E67&amp;"'","Acct_FSDetail")</f>
        <v>54000</v>
      </c>
      <c r="M67" s="122" t="str">
        <f t="shared" si="11"/>
        <v>Default - Gain/Loss Sale Of Assets</v>
      </c>
      <c r="N67" s="38"/>
      <c r="O67" s="122" t="str">
        <f>_xll.GetData(O$3,"Dept = "&amp;G67,,"&lt;&lt;&lt;Invalid Dept")</f>
        <v>Default</v>
      </c>
      <c r="P67" s="32"/>
      <c r="Q67" s="122" t="str">
        <f>_xll.GetData(Q$3,"Acct = "&amp;I67,," Invalid Account Number")</f>
        <v>Gain/Loss Sale Of Assets</v>
      </c>
    </row>
    <row r="68" spans="2:17" ht="5.0999999999999996" customHeight="1" thickTop="1">
      <c r="B68" s="108"/>
      <c r="C68" s="109"/>
      <c r="D68" s="35"/>
    </row>
    <row r="69" spans="2:17" ht="16.8">
      <c r="B69" s="108"/>
      <c r="C69" s="109"/>
      <c r="D69" s="94" t="s">
        <v>256</v>
      </c>
    </row>
    <row r="70" spans="2:17" ht="5.0999999999999996" customHeight="1" thickBot="1">
      <c r="B70" s="108"/>
      <c r="C70" s="109"/>
      <c r="D70" s="30"/>
    </row>
    <row r="71" spans="2:17" ht="18" thickTop="1" thickBot="1">
      <c r="B71" s="108"/>
      <c r="C71" s="109"/>
      <c r="D71" s="122" t="s">
        <v>257</v>
      </c>
      <c r="E71" s="23" t="s">
        <v>360</v>
      </c>
      <c r="G71" s="169">
        <f>$G$17</f>
        <v>0</v>
      </c>
      <c r="H71" s="38"/>
      <c r="I71" s="123" cm="1">
        <f t="array" ref="I71">_xll.GetData("CYFAcct","FSDetail='"&amp;E71&amp;"'","Acct_FSDetail")</f>
        <v>54517</v>
      </c>
      <c r="M71" s="122" t="str">
        <f t="shared" ref="M71" si="12">O71&amp;" - "&amp;Q71</f>
        <v>Default - Amer Cancer So Transportation</v>
      </c>
      <c r="N71" s="38"/>
      <c r="O71" s="122" t="str">
        <f>_xll.GetData(O$3,"Dept = "&amp;G71,,"&lt;&lt;&lt;Invalid Dept")</f>
        <v>Default</v>
      </c>
      <c r="P71" s="32"/>
      <c r="Q71" s="122" t="str">
        <f>_xll.GetData(Q$3,"Acct = "&amp;I71,," Invalid Account Number")</f>
        <v>Amer Cancer So Transportation</v>
      </c>
    </row>
    <row r="72" spans="2:17" ht="5.0999999999999996" customHeight="1" thickTop="1">
      <c r="B72" s="108"/>
      <c r="C72" s="109"/>
      <c r="D72" s="31"/>
    </row>
  </sheetData>
  <sheetProtection formatCells="0" autoFilter="0"/>
  <printOptions headings="1" gridLinesSet="0"/>
  <pageMargins left="0.75" right="0.25" top="0.5" bottom="0.5" header="0.3" footer="0.3"/>
  <pageSetup scale="52" orientation="landscape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AK93"/>
  <sheetViews>
    <sheetView showGridLines="0" showRowColHeaders="0" topLeftCell="D17" zoomScaleNormal="100" workbookViewId="0">
      <pane xSplit="2" ySplit="5" topLeftCell="F22" activePane="bottomRight" state="frozen"/>
      <selection activeCell="D17" sqref="D17"/>
      <selection pane="topRight" activeCell="F17" sqref="F17"/>
      <selection pane="bottomLeft" activeCell="D22" sqref="D22"/>
      <selection pane="bottomRight" activeCell="F22" sqref="F22"/>
    </sheetView>
  </sheetViews>
  <sheetFormatPr defaultColWidth="13.69921875" defaultRowHeight="15"/>
  <cols>
    <col min="1" max="1" width="11.3984375" style="47" customWidth="1"/>
    <col min="2" max="2" width="35.59765625" style="47" customWidth="1"/>
    <col min="3" max="3" width="2.3984375" style="47" customWidth="1"/>
    <col min="4" max="4" width="3.19921875" style="47" customWidth="1"/>
    <col min="5" max="5" width="35.09765625" style="48" customWidth="1"/>
    <col min="6" max="6" width="2.59765625" style="47" customWidth="1"/>
    <col min="7" max="7" width="3" style="47" customWidth="1"/>
    <col min="8" max="8" width="5" style="47" customWidth="1"/>
    <col min="9" max="13" width="16.59765625" style="47" customWidth="1"/>
    <col min="14" max="14" width="16.8984375" style="47" customWidth="1"/>
    <col min="15" max="20" width="16.59765625" style="47" customWidth="1"/>
    <col min="21" max="21" width="17.59765625" style="47" customWidth="1"/>
    <col min="22" max="22" width="1.59765625" style="55" customWidth="1"/>
    <col min="23" max="23" width="16.59765625" style="55" customWidth="1"/>
    <col min="24" max="257" width="13.69921875" style="47"/>
    <col min="258" max="258" width="10" style="47" customWidth="1"/>
    <col min="259" max="259" width="31.19921875" style="47" customWidth="1"/>
    <col min="260" max="261" width="2.09765625" style="47" customWidth="1"/>
    <col min="262" max="262" width="46" style="47" customWidth="1"/>
    <col min="263" max="263" width="2.3984375" style="47" customWidth="1"/>
    <col min="264" max="264" width="2.69921875" style="47" customWidth="1"/>
    <col min="265" max="265" width="4.5" style="47" customWidth="1"/>
    <col min="266" max="270" width="14.59765625" style="47" customWidth="1"/>
    <col min="271" max="271" width="14.8984375" style="47" customWidth="1"/>
    <col min="272" max="277" width="14.59765625" style="47" customWidth="1"/>
    <col min="278" max="278" width="15.5" style="47" customWidth="1"/>
    <col min="279" max="279" width="22.19921875" style="47" customWidth="1"/>
    <col min="280" max="513" width="13.69921875" style="47"/>
    <col min="514" max="514" width="10" style="47" customWidth="1"/>
    <col min="515" max="515" width="31.19921875" style="47" customWidth="1"/>
    <col min="516" max="517" width="2.09765625" style="47" customWidth="1"/>
    <col min="518" max="518" width="46" style="47" customWidth="1"/>
    <col min="519" max="519" width="2.3984375" style="47" customWidth="1"/>
    <col min="520" max="520" width="2.69921875" style="47" customWidth="1"/>
    <col min="521" max="521" width="4.5" style="47" customWidth="1"/>
    <col min="522" max="526" width="14.59765625" style="47" customWidth="1"/>
    <col min="527" max="527" width="14.8984375" style="47" customWidth="1"/>
    <col min="528" max="533" width="14.59765625" style="47" customWidth="1"/>
    <col min="534" max="534" width="15.5" style="47" customWidth="1"/>
    <col min="535" max="535" width="22.19921875" style="47" customWidth="1"/>
    <col min="536" max="769" width="13.69921875" style="47"/>
    <col min="770" max="770" width="10" style="47" customWidth="1"/>
    <col min="771" max="771" width="31.19921875" style="47" customWidth="1"/>
    <col min="772" max="773" width="2.09765625" style="47" customWidth="1"/>
    <col min="774" max="774" width="46" style="47" customWidth="1"/>
    <col min="775" max="775" width="2.3984375" style="47" customWidth="1"/>
    <col min="776" max="776" width="2.69921875" style="47" customWidth="1"/>
    <col min="777" max="777" width="4.5" style="47" customWidth="1"/>
    <col min="778" max="782" width="14.59765625" style="47" customWidth="1"/>
    <col min="783" max="783" width="14.8984375" style="47" customWidth="1"/>
    <col min="784" max="789" width="14.59765625" style="47" customWidth="1"/>
    <col min="790" max="790" width="15.5" style="47" customWidth="1"/>
    <col min="791" max="791" width="22.19921875" style="47" customWidth="1"/>
    <col min="792" max="1025" width="13.69921875" style="47"/>
    <col min="1026" max="1026" width="10" style="47" customWidth="1"/>
    <col min="1027" max="1027" width="31.19921875" style="47" customWidth="1"/>
    <col min="1028" max="1029" width="2.09765625" style="47" customWidth="1"/>
    <col min="1030" max="1030" width="46" style="47" customWidth="1"/>
    <col min="1031" max="1031" width="2.3984375" style="47" customWidth="1"/>
    <col min="1032" max="1032" width="2.69921875" style="47" customWidth="1"/>
    <col min="1033" max="1033" width="4.5" style="47" customWidth="1"/>
    <col min="1034" max="1038" width="14.59765625" style="47" customWidth="1"/>
    <col min="1039" max="1039" width="14.8984375" style="47" customWidth="1"/>
    <col min="1040" max="1045" width="14.59765625" style="47" customWidth="1"/>
    <col min="1046" max="1046" width="15.5" style="47" customWidth="1"/>
    <col min="1047" max="1047" width="22.19921875" style="47" customWidth="1"/>
    <col min="1048" max="1281" width="13.69921875" style="47"/>
    <col min="1282" max="1282" width="10" style="47" customWidth="1"/>
    <col min="1283" max="1283" width="31.19921875" style="47" customWidth="1"/>
    <col min="1284" max="1285" width="2.09765625" style="47" customWidth="1"/>
    <col min="1286" max="1286" width="46" style="47" customWidth="1"/>
    <col min="1287" max="1287" width="2.3984375" style="47" customWidth="1"/>
    <col min="1288" max="1288" width="2.69921875" style="47" customWidth="1"/>
    <col min="1289" max="1289" width="4.5" style="47" customWidth="1"/>
    <col min="1290" max="1294" width="14.59765625" style="47" customWidth="1"/>
    <col min="1295" max="1295" width="14.8984375" style="47" customWidth="1"/>
    <col min="1296" max="1301" width="14.59765625" style="47" customWidth="1"/>
    <col min="1302" max="1302" width="15.5" style="47" customWidth="1"/>
    <col min="1303" max="1303" width="22.19921875" style="47" customWidth="1"/>
    <col min="1304" max="1537" width="13.69921875" style="47"/>
    <col min="1538" max="1538" width="10" style="47" customWidth="1"/>
    <col min="1539" max="1539" width="31.19921875" style="47" customWidth="1"/>
    <col min="1540" max="1541" width="2.09765625" style="47" customWidth="1"/>
    <col min="1542" max="1542" width="46" style="47" customWidth="1"/>
    <col min="1543" max="1543" width="2.3984375" style="47" customWidth="1"/>
    <col min="1544" max="1544" width="2.69921875" style="47" customWidth="1"/>
    <col min="1545" max="1545" width="4.5" style="47" customWidth="1"/>
    <col min="1546" max="1550" width="14.59765625" style="47" customWidth="1"/>
    <col min="1551" max="1551" width="14.8984375" style="47" customWidth="1"/>
    <col min="1552" max="1557" width="14.59765625" style="47" customWidth="1"/>
    <col min="1558" max="1558" width="15.5" style="47" customWidth="1"/>
    <col min="1559" max="1559" width="22.19921875" style="47" customWidth="1"/>
    <col min="1560" max="1793" width="13.69921875" style="47"/>
    <col min="1794" max="1794" width="10" style="47" customWidth="1"/>
    <col min="1795" max="1795" width="31.19921875" style="47" customWidth="1"/>
    <col min="1796" max="1797" width="2.09765625" style="47" customWidth="1"/>
    <col min="1798" max="1798" width="46" style="47" customWidth="1"/>
    <col min="1799" max="1799" width="2.3984375" style="47" customWidth="1"/>
    <col min="1800" max="1800" width="2.69921875" style="47" customWidth="1"/>
    <col min="1801" max="1801" width="4.5" style="47" customWidth="1"/>
    <col min="1802" max="1806" width="14.59765625" style="47" customWidth="1"/>
    <col min="1807" max="1807" width="14.8984375" style="47" customWidth="1"/>
    <col min="1808" max="1813" width="14.59765625" style="47" customWidth="1"/>
    <col min="1814" max="1814" width="15.5" style="47" customWidth="1"/>
    <col min="1815" max="1815" width="22.19921875" style="47" customWidth="1"/>
    <col min="1816" max="2049" width="13.69921875" style="47"/>
    <col min="2050" max="2050" width="10" style="47" customWidth="1"/>
    <col min="2051" max="2051" width="31.19921875" style="47" customWidth="1"/>
    <col min="2052" max="2053" width="2.09765625" style="47" customWidth="1"/>
    <col min="2054" max="2054" width="46" style="47" customWidth="1"/>
    <col min="2055" max="2055" width="2.3984375" style="47" customWidth="1"/>
    <col min="2056" max="2056" width="2.69921875" style="47" customWidth="1"/>
    <col min="2057" max="2057" width="4.5" style="47" customWidth="1"/>
    <col min="2058" max="2062" width="14.59765625" style="47" customWidth="1"/>
    <col min="2063" max="2063" width="14.8984375" style="47" customWidth="1"/>
    <col min="2064" max="2069" width="14.59765625" style="47" customWidth="1"/>
    <col min="2070" max="2070" width="15.5" style="47" customWidth="1"/>
    <col min="2071" max="2071" width="22.19921875" style="47" customWidth="1"/>
    <col min="2072" max="2305" width="13.69921875" style="47"/>
    <col min="2306" max="2306" width="10" style="47" customWidth="1"/>
    <col min="2307" max="2307" width="31.19921875" style="47" customWidth="1"/>
    <col min="2308" max="2309" width="2.09765625" style="47" customWidth="1"/>
    <col min="2310" max="2310" width="46" style="47" customWidth="1"/>
    <col min="2311" max="2311" width="2.3984375" style="47" customWidth="1"/>
    <col min="2312" max="2312" width="2.69921875" style="47" customWidth="1"/>
    <col min="2313" max="2313" width="4.5" style="47" customWidth="1"/>
    <col min="2314" max="2318" width="14.59765625" style="47" customWidth="1"/>
    <col min="2319" max="2319" width="14.8984375" style="47" customWidth="1"/>
    <col min="2320" max="2325" width="14.59765625" style="47" customWidth="1"/>
    <col min="2326" max="2326" width="15.5" style="47" customWidth="1"/>
    <col min="2327" max="2327" width="22.19921875" style="47" customWidth="1"/>
    <col min="2328" max="2561" width="13.69921875" style="47"/>
    <col min="2562" max="2562" width="10" style="47" customWidth="1"/>
    <col min="2563" max="2563" width="31.19921875" style="47" customWidth="1"/>
    <col min="2564" max="2565" width="2.09765625" style="47" customWidth="1"/>
    <col min="2566" max="2566" width="46" style="47" customWidth="1"/>
    <col min="2567" max="2567" width="2.3984375" style="47" customWidth="1"/>
    <col min="2568" max="2568" width="2.69921875" style="47" customWidth="1"/>
    <col min="2569" max="2569" width="4.5" style="47" customWidth="1"/>
    <col min="2570" max="2574" width="14.59765625" style="47" customWidth="1"/>
    <col min="2575" max="2575" width="14.8984375" style="47" customWidth="1"/>
    <col min="2576" max="2581" width="14.59765625" style="47" customWidth="1"/>
    <col min="2582" max="2582" width="15.5" style="47" customWidth="1"/>
    <col min="2583" max="2583" width="22.19921875" style="47" customWidth="1"/>
    <col min="2584" max="2817" width="13.69921875" style="47"/>
    <col min="2818" max="2818" width="10" style="47" customWidth="1"/>
    <col min="2819" max="2819" width="31.19921875" style="47" customWidth="1"/>
    <col min="2820" max="2821" width="2.09765625" style="47" customWidth="1"/>
    <col min="2822" max="2822" width="46" style="47" customWidth="1"/>
    <col min="2823" max="2823" width="2.3984375" style="47" customWidth="1"/>
    <col min="2824" max="2824" width="2.69921875" style="47" customWidth="1"/>
    <col min="2825" max="2825" width="4.5" style="47" customWidth="1"/>
    <col min="2826" max="2830" width="14.59765625" style="47" customWidth="1"/>
    <col min="2831" max="2831" width="14.8984375" style="47" customWidth="1"/>
    <col min="2832" max="2837" width="14.59765625" style="47" customWidth="1"/>
    <col min="2838" max="2838" width="15.5" style="47" customWidth="1"/>
    <col min="2839" max="2839" width="22.19921875" style="47" customWidth="1"/>
    <col min="2840" max="3073" width="13.69921875" style="47"/>
    <col min="3074" max="3074" width="10" style="47" customWidth="1"/>
    <col min="3075" max="3075" width="31.19921875" style="47" customWidth="1"/>
    <col min="3076" max="3077" width="2.09765625" style="47" customWidth="1"/>
    <col min="3078" max="3078" width="46" style="47" customWidth="1"/>
    <col min="3079" max="3079" width="2.3984375" style="47" customWidth="1"/>
    <col min="3080" max="3080" width="2.69921875" style="47" customWidth="1"/>
    <col min="3081" max="3081" width="4.5" style="47" customWidth="1"/>
    <col min="3082" max="3086" width="14.59765625" style="47" customWidth="1"/>
    <col min="3087" max="3087" width="14.8984375" style="47" customWidth="1"/>
    <col min="3088" max="3093" width="14.59765625" style="47" customWidth="1"/>
    <col min="3094" max="3094" width="15.5" style="47" customWidth="1"/>
    <col min="3095" max="3095" width="22.19921875" style="47" customWidth="1"/>
    <col min="3096" max="3329" width="13.69921875" style="47"/>
    <col min="3330" max="3330" width="10" style="47" customWidth="1"/>
    <col min="3331" max="3331" width="31.19921875" style="47" customWidth="1"/>
    <col min="3332" max="3333" width="2.09765625" style="47" customWidth="1"/>
    <col min="3334" max="3334" width="46" style="47" customWidth="1"/>
    <col min="3335" max="3335" width="2.3984375" style="47" customWidth="1"/>
    <col min="3336" max="3336" width="2.69921875" style="47" customWidth="1"/>
    <col min="3337" max="3337" width="4.5" style="47" customWidth="1"/>
    <col min="3338" max="3342" width="14.59765625" style="47" customWidth="1"/>
    <col min="3343" max="3343" width="14.8984375" style="47" customWidth="1"/>
    <col min="3344" max="3349" width="14.59765625" style="47" customWidth="1"/>
    <col min="3350" max="3350" width="15.5" style="47" customWidth="1"/>
    <col min="3351" max="3351" width="22.19921875" style="47" customWidth="1"/>
    <col min="3352" max="3585" width="13.69921875" style="47"/>
    <col min="3586" max="3586" width="10" style="47" customWidth="1"/>
    <col min="3587" max="3587" width="31.19921875" style="47" customWidth="1"/>
    <col min="3588" max="3589" width="2.09765625" style="47" customWidth="1"/>
    <col min="3590" max="3590" width="46" style="47" customWidth="1"/>
    <col min="3591" max="3591" width="2.3984375" style="47" customWidth="1"/>
    <col min="3592" max="3592" width="2.69921875" style="47" customWidth="1"/>
    <col min="3593" max="3593" width="4.5" style="47" customWidth="1"/>
    <col min="3594" max="3598" width="14.59765625" style="47" customWidth="1"/>
    <col min="3599" max="3599" width="14.8984375" style="47" customWidth="1"/>
    <col min="3600" max="3605" width="14.59765625" style="47" customWidth="1"/>
    <col min="3606" max="3606" width="15.5" style="47" customWidth="1"/>
    <col min="3607" max="3607" width="22.19921875" style="47" customWidth="1"/>
    <col min="3608" max="3841" width="13.69921875" style="47"/>
    <col min="3842" max="3842" width="10" style="47" customWidth="1"/>
    <col min="3843" max="3843" width="31.19921875" style="47" customWidth="1"/>
    <col min="3844" max="3845" width="2.09765625" style="47" customWidth="1"/>
    <col min="3846" max="3846" width="46" style="47" customWidth="1"/>
    <col min="3847" max="3847" width="2.3984375" style="47" customWidth="1"/>
    <col min="3848" max="3848" width="2.69921875" style="47" customWidth="1"/>
    <col min="3849" max="3849" width="4.5" style="47" customWidth="1"/>
    <col min="3850" max="3854" width="14.59765625" style="47" customWidth="1"/>
    <col min="3855" max="3855" width="14.8984375" style="47" customWidth="1"/>
    <col min="3856" max="3861" width="14.59765625" style="47" customWidth="1"/>
    <col min="3862" max="3862" width="15.5" style="47" customWidth="1"/>
    <col min="3863" max="3863" width="22.19921875" style="47" customWidth="1"/>
    <col min="3864" max="4097" width="13.69921875" style="47"/>
    <col min="4098" max="4098" width="10" style="47" customWidth="1"/>
    <col min="4099" max="4099" width="31.19921875" style="47" customWidth="1"/>
    <col min="4100" max="4101" width="2.09765625" style="47" customWidth="1"/>
    <col min="4102" max="4102" width="46" style="47" customWidth="1"/>
    <col min="4103" max="4103" width="2.3984375" style="47" customWidth="1"/>
    <col min="4104" max="4104" width="2.69921875" style="47" customWidth="1"/>
    <col min="4105" max="4105" width="4.5" style="47" customWidth="1"/>
    <col min="4106" max="4110" width="14.59765625" style="47" customWidth="1"/>
    <col min="4111" max="4111" width="14.8984375" style="47" customWidth="1"/>
    <col min="4112" max="4117" width="14.59765625" style="47" customWidth="1"/>
    <col min="4118" max="4118" width="15.5" style="47" customWidth="1"/>
    <col min="4119" max="4119" width="22.19921875" style="47" customWidth="1"/>
    <col min="4120" max="4353" width="13.69921875" style="47"/>
    <col min="4354" max="4354" width="10" style="47" customWidth="1"/>
    <col min="4355" max="4355" width="31.19921875" style="47" customWidth="1"/>
    <col min="4356" max="4357" width="2.09765625" style="47" customWidth="1"/>
    <col min="4358" max="4358" width="46" style="47" customWidth="1"/>
    <col min="4359" max="4359" width="2.3984375" style="47" customWidth="1"/>
    <col min="4360" max="4360" width="2.69921875" style="47" customWidth="1"/>
    <col min="4361" max="4361" width="4.5" style="47" customWidth="1"/>
    <col min="4362" max="4366" width="14.59765625" style="47" customWidth="1"/>
    <col min="4367" max="4367" width="14.8984375" style="47" customWidth="1"/>
    <col min="4368" max="4373" width="14.59765625" style="47" customWidth="1"/>
    <col min="4374" max="4374" width="15.5" style="47" customWidth="1"/>
    <col min="4375" max="4375" width="22.19921875" style="47" customWidth="1"/>
    <col min="4376" max="4609" width="13.69921875" style="47"/>
    <col min="4610" max="4610" width="10" style="47" customWidth="1"/>
    <col min="4611" max="4611" width="31.19921875" style="47" customWidth="1"/>
    <col min="4612" max="4613" width="2.09765625" style="47" customWidth="1"/>
    <col min="4614" max="4614" width="46" style="47" customWidth="1"/>
    <col min="4615" max="4615" width="2.3984375" style="47" customWidth="1"/>
    <col min="4616" max="4616" width="2.69921875" style="47" customWidth="1"/>
    <col min="4617" max="4617" width="4.5" style="47" customWidth="1"/>
    <col min="4618" max="4622" width="14.59765625" style="47" customWidth="1"/>
    <col min="4623" max="4623" width="14.8984375" style="47" customWidth="1"/>
    <col min="4624" max="4629" width="14.59765625" style="47" customWidth="1"/>
    <col min="4630" max="4630" width="15.5" style="47" customWidth="1"/>
    <col min="4631" max="4631" width="22.19921875" style="47" customWidth="1"/>
    <col min="4632" max="4865" width="13.69921875" style="47"/>
    <col min="4866" max="4866" width="10" style="47" customWidth="1"/>
    <col min="4867" max="4867" width="31.19921875" style="47" customWidth="1"/>
    <col min="4868" max="4869" width="2.09765625" style="47" customWidth="1"/>
    <col min="4870" max="4870" width="46" style="47" customWidth="1"/>
    <col min="4871" max="4871" width="2.3984375" style="47" customWidth="1"/>
    <col min="4872" max="4872" width="2.69921875" style="47" customWidth="1"/>
    <col min="4873" max="4873" width="4.5" style="47" customWidth="1"/>
    <col min="4874" max="4878" width="14.59765625" style="47" customWidth="1"/>
    <col min="4879" max="4879" width="14.8984375" style="47" customWidth="1"/>
    <col min="4880" max="4885" width="14.59765625" style="47" customWidth="1"/>
    <col min="4886" max="4886" width="15.5" style="47" customWidth="1"/>
    <col min="4887" max="4887" width="22.19921875" style="47" customWidth="1"/>
    <col min="4888" max="5121" width="13.69921875" style="47"/>
    <col min="5122" max="5122" width="10" style="47" customWidth="1"/>
    <col min="5123" max="5123" width="31.19921875" style="47" customWidth="1"/>
    <col min="5124" max="5125" width="2.09765625" style="47" customWidth="1"/>
    <col min="5126" max="5126" width="46" style="47" customWidth="1"/>
    <col min="5127" max="5127" width="2.3984375" style="47" customWidth="1"/>
    <col min="5128" max="5128" width="2.69921875" style="47" customWidth="1"/>
    <col min="5129" max="5129" width="4.5" style="47" customWidth="1"/>
    <col min="5130" max="5134" width="14.59765625" style="47" customWidth="1"/>
    <col min="5135" max="5135" width="14.8984375" style="47" customWidth="1"/>
    <col min="5136" max="5141" width="14.59765625" style="47" customWidth="1"/>
    <col min="5142" max="5142" width="15.5" style="47" customWidth="1"/>
    <col min="5143" max="5143" width="22.19921875" style="47" customWidth="1"/>
    <col min="5144" max="5377" width="13.69921875" style="47"/>
    <col min="5378" max="5378" width="10" style="47" customWidth="1"/>
    <col min="5379" max="5379" width="31.19921875" style="47" customWidth="1"/>
    <col min="5380" max="5381" width="2.09765625" style="47" customWidth="1"/>
    <col min="5382" max="5382" width="46" style="47" customWidth="1"/>
    <col min="5383" max="5383" width="2.3984375" style="47" customWidth="1"/>
    <col min="5384" max="5384" width="2.69921875" style="47" customWidth="1"/>
    <col min="5385" max="5385" width="4.5" style="47" customWidth="1"/>
    <col min="5386" max="5390" width="14.59765625" style="47" customWidth="1"/>
    <col min="5391" max="5391" width="14.8984375" style="47" customWidth="1"/>
    <col min="5392" max="5397" width="14.59765625" style="47" customWidth="1"/>
    <col min="5398" max="5398" width="15.5" style="47" customWidth="1"/>
    <col min="5399" max="5399" width="22.19921875" style="47" customWidth="1"/>
    <col min="5400" max="5633" width="13.69921875" style="47"/>
    <col min="5634" max="5634" width="10" style="47" customWidth="1"/>
    <col min="5635" max="5635" width="31.19921875" style="47" customWidth="1"/>
    <col min="5636" max="5637" width="2.09765625" style="47" customWidth="1"/>
    <col min="5638" max="5638" width="46" style="47" customWidth="1"/>
    <col min="5639" max="5639" width="2.3984375" style="47" customWidth="1"/>
    <col min="5640" max="5640" width="2.69921875" style="47" customWidth="1"/>
    <col min="5641" max="5641" width="4.5" style="47" customWidth="1"/>
    <col min="5642" max="5646" width="14.59765625" style="47" customWidth="1"/>
    <col min="5647" max="5647" width="14.8984375" style="47" customWidth="1"/>
    <col min="5648" max="5653" width="14.59765625" style="47" customWidth="1"/>
    <col min="5654" max="5654" width="15.5" style="47" customWidth="1"/>
    <col min="5655" max="5655" width="22.19921875" style="47" customWidth="1"/>
    <col min="5656" max="5889" width="13.69921875" style="47"/>
    <col min="5890" max="5890" width="10" style="47" customWidth="1"/>
    <col min="5891" max="5891" width="31.19921875" style="47" customWidth="1"/>
    <col min="5892" max="5893" width="2.09765625" style="47" customWidth="1"/>
    <col min="5894" max="5894" width="46" style="47" customWidth="1"/>
    <col min="5895" max="5895" width="2.3984375" style="47" customWidth="1"/>
    <col min="5896" max="5896" width="2.69921875" style="47" customWidth="1"/>
    <col min="5897" max="5897" width="4.5" style="47" customWidth="1"/>
    <col min="5898" max="5902" width="14.59765625" style="47" customWidth="1"/>
    <col min="5903" max="5903" width="14.8984375" style="47" customWidth="1"/>
    <col min="5904" max="5909" width="14.59765625" style="47" customWidth="1"/>
    <col min="5910" max="5910" width="15.5" style="47" customWidth="1"/>
    <col min="5911" max="5911" width="22.19921875" style="47" customWidth="1"/>
    <col min="5912" max="6145" width="13.69921875" style="47"/>
    <col min="6146" max="6146" width="10" style="47" customWidth="1"/>
    <col min="6147" max="6147" width="31.19921875" style="47" customWidth="1"/>
    <col min="6148" max="6149" width="2.09765625" style="47" customWidth="1"/>
    <col min="6150" max="6150" width="46" style="47" customWidth="1"/>
    <col min="6151" max="6151" width="2.3984375" style="47" customWidth="1"/>
    <col min="6152" max="6152" width="2.69921875" style="47" customWidth="1"/>
    <col min="6153" max="6153" width="4.5" style="47" customWidth="1"/>
    <col min="6154" max="6158" width="14.59765625" style="47" customWidth="1"/>
    <col min="6159" max="6159" width="14.8984375" style="47" customWidth="1"/>
    <col min="6160" max="6165" width="14.59765625" style="47" customWidth="1"/>
    <col min="6166" max="6166" width="15.5" style="47" customWidth="1"/>
    <col min="6167" max="6167" width="22.19921875" style="47" customWidth="1"/>
    <col min="6168" max="6401" width="13.69921875" style="47"/>
    <col min="6402" max="6402" width="10" style="47" customWidth="1"/>
    <col min="6403" max="6403" width="31.19921875" style="47" customWidth="1"/>
    <col min="6404" max="6405" width="2.09765625" style="47" customWidth="1"/>
    <col min="6406" max="6406" width="46" style="47" customWidth="1"/>
    <col min="6407" max="6407" width="2.3984375" style="47" customWidth="1"/>
    <col min="6408" max="6408" width="2.69921875" style="47" customWidth="1"/>
    <col min="6409" max="6409" width="4.5" style="47" customWidth="1"/>
    <col min="6410" max="6414" width="14.59765625" style="47" customWidth="1"/>
    <col min="6415" max="6415" width="14.8984375" style="47" customWidth="1"/>
    <col min="6416" max="6421" width="14.59765625" style="47" customWidth="1"/>
    <col min="6422" max="6422" width="15.5" style="47" customWidth="1"/>
    <col min="6423" max="6423" width="22.19921875" style="47" customWidth="1"/>
    <col min="6424" max="6657" width="13.69921875" style="47"/>
    <col min="6658" max="6658" width="10" style="47" customWidth="1"/>
    <col min="6659" max="6659" width="31.19921875" style="47" customWidth="1"/>
    <col min="6660" max="6661" width="2.09765625" style="47" customWidth="1"/>
    <col min="6662" max="6662" width="46" style="47" customWidth="1"/>
    <col min="6663" max="6663" width="2.3984375" style="47" customWidth="1"/>
    <col min="6664" max="6664" width="2.69921875" style="47" customWidth="1"/>
    <col min="6665" max="6665" width="4.5" style="47" customWidth="1"/>
    <col min="6666" max="6670" width="14.59765625" style="47" customWidth="1"/>
    <col min="6671" max="6671" width="14.8984375" style="47" customWidth="1"/>
    <col min="6672" max="6677" width="14.59765625" style="47" customWidth="1"/>
    <col min="6678" max="6678" width="15.5" style="47" customWidth="1"/>
    <col min="6679" max="6679" width="22.19921875" style="47" customWidth="1"/>
    <col min="6680" max="6913" width="13.69921875" style="47"/>
    <col min="6914" max="6914" width="10" style="47" customWidth="1"/>
    <col min="6915" max="6915" width="31.19921875" style="47" customWidth="1"/>
    <col min="6916" max="6917" width="2.09765625" style="47" customWidth="1"/>
    <col min="6918" max="6918" width="46" style="47" customWidth="1"/>
    <col min="6919" max="6919" width="2.3984375" style="47" customWidth="1"/>
    <col min="6920" max="6920" width="2.69921875" style="47" customWidth="1"/>
    <col min="6921" max="6921" width="4.5" style="47" customWidth="1"/>
    <col min="6922" max="6926" width="14.59765625" style="47" customWidth="1"/>
    <col min="6927" max="6927" width="14.8984375" style="47" customWidth="1"/>
    <col min="6928" max="6933" width="14.59765625" style="47" customWidth="1"/>
    <col min="6934" max="6934" width="15.5" style="47" customWidth="1"/>
    <col min="6935" max="6935" width="22.19921875" style="47" customWidth="1"/>
    <col min="6936" max="7169" width="13.69921875" style="47"/>
    <col min="7170" max="7170" width="10" style="47" customWidth="1"/>
    <col min="7171" max="7171" width="31.19921875" style="47" customWidth="1"/>
    <col min="7172" max="7173" width="2.09765625" style="47" customWidth="1"/>
    <col min="7174" max="7174" width="46" style="47" customWidth="1"/>
    <col min="7175" max="7175" width="2.3984375" style="47" customWidth="1"/>
    <col min="7176" max="7176" width="2.69921875" style="47" customWidth="1"/>
    <col min="7177" max="7177" width="4.5" style="47" customWidth="1"/>
    <col min="7178" max="7182" width="14.59765625" style="47" customWidth="1"/>
    <col min="7183" max="7183" width="14.8984375" style="47" customWidth="1"/>
    <col min="7184" max="7189" width="14.59765625" style="47" customWidth="1"/>
    <col min="7190" max="7190" width="15.5" style="47" customWidth="1"/>
    <col min="7191" max="7191" width="22.19921875" style="47" customWidth="1"/>
    <col min="7192" max="7425" width="13.69921875" style="47"/>
    <col min="7426" max="7426" width="10" style="47" customWidth="1"/>
    <col min="7427" max="7427" width="31.19921875" style="47" customWidth="1"/>
    <col min="7428" max="7429" width="2.09765625" style="47" customWidth="1"/>
    <col min="7430" max="7430" width="46" style="47" customWidth="1"/>
    <col min="7431" max="7431" width="2.3984375" style="47" customWidth="1"/>
    <col min="7432" max="7432" width="2.69921875" style="47" customWidth="1"/>
    <col min="7433" max="7433" width="4.5" style="47" customWidth="1"/>
    <col min="7434" max="7438" width="14.59765625" style="47" customWidth="1"/>
    <col min="7439" max="7439" width="14.8984375" style="47" customWidth="1"/>
    <col min="7440" max="7445" width="14.59765625" style="47" customWidth="1"/>
    <col min="7446" max="7446" width="15.5" style="47" customWidth="1"/>
    <col min="7447" max="7447" width="22.19921875" style="47" customWidth="1"/>
    <col min="7448" max="7681" width="13.69921875" style="47"/>
    <col min="7682" max="7682" width="10" style="47" customWidth="1"/>
    <col min="7683" max="7683" width="31.19921875" style="47" customWidth="1"/>
    <col min="7684" max="7685" width="2.09765625" style="47" customWidth="1"/>
    <col min="7686" max="7686" width="46" style="47" customWidth="1"/>
    <col min="7687" max="7687" width="2.3984375" style="47" customWidth="1"/>
    <col min="7688" max="7688" width="2.69921875" style="47" customWidth="1"/>
    <col min="7689" max="7689" width="4.5" style="47" customWidth="1"/>
    <col min="7690" max="7694" width="14.59765625" style="47" customWidth="1"/>
    <col min="7695" max="7695" width="14.8984375" style="47" customWidth="1"/>
    <col min="7696" max="7701" width="14.59765625" style="47" customWidth="1"/>
    <col min="7702" max="7702" width="15.5" style="47" customWidth="1"/>
    <col min="7703" max="7703" width="22.19921875" style="47" customWidth="1"/>
    <col min="7704" max="7937" width="13.69921875" style="47"/>
    <col min="7938" max="7938" width="10" style="47" customWidth="1"/>
    <col min="7939" max="7939" width="31.19921875" style="47" customWidth="1"/>
    <col min="7940" max="7941" width="2.09765625" style="47" customWidth="1"/>
    <col min="7942" max="7942" width="46" style="47" customWidth="1"/>
    <col min="7943" max="7943" width="2.3984375" style="47" customWidth="1"/>
    <col min="7944" max="7944" width="2.69921875" style="47" customWidth="1"/>
    <col min="7945" max="7945" width="4.5" style="47" customWidth="1"/>
    <col min="7946" max="7950" width="14.59765625" style="47" customWidth="1"/>
    <col min="7951" max="7951" width="14.8984375" style="47" customWidth="1"/>
    <col min="7952" max="7957" width="14.59765625" style="47" customWidth="1"/>
    <col min="7958" max="7958" width="15.5" style="47" customWidth="1"/>
    <col min="7959" max="7959" width="22.19921875" style="47" customWidth="1"/>
    <col min="7960" max="8193" width="13.69921875" style="47"/>
    <col min="8194" max="8194" width="10" style="47" customWidth="1"/>
    <col min="8195" max="8195" width="31.19921875" style="47" customWidth="1"/>
    <col min="8196" max="8197" width="2.09765625" style="47" customWidth="1"/>
    <col min="8198" max="8198" width="46" style="47" customWidth="1"/>
    <col min="8199" max="8199" width="2.3984375" style="47" customWidth="1"/>
    <col min="8200" max="8200" width="2.69921875" style="47" customWidth="1"/>
    <col min="8201" max="8201" width="4.5" style="47" customWidth="1"/>
    <col min="8202" max="8206" width="14.59765625" style="47" customWidth="1"/>
    <col min="8207" max="8207" width="14.8984375" style="47" customWidth="1"/>
    <col min="8208" max="8213" width="14.59765625" style="47" customWidth="1"/>
    <col min="8214" max="8214" width="15.5" style="47" customWidth="1"/>
    <col min="8215" max="8215" width="22.19921875" style="47" customWidth="1"/>
    <col min="8216" max="8449" width="13.69921875" style="47"/>
    <col min="8450" max="8450" width="10" style="47" customWidth="1"/>
    <col min="8451" max="8451" width="31.19921875" style="47" customWidth="1"/>
    <col min="8452" max="8453" width="2.09765625" style="47" customWidth="1"/>
    <col min="8454" max="8454" width="46" style="47" customWidth="1"/>
    <col min="8455" max="8455" width="2.3984375" style="47" customWidth="1"/>
    <col min="8456" max="8456" width="2.69921875" style="47" customWidth="1"/>
    <col min="8457" max="8457" width="4.5" style="47" customWidth="1"/>
    <col min="8458" max="8462" width="14.59765625" style="47" customWidth="1"/>
    <col min="8463" max="8463" width="14.8984375" style="47" customWidth="1"/>
    <col min="8464" max="8469" width="14.59765625" style="47" customWidth="1"/>
    <col min="8470" max="8470" width="15.5" style="47" customWidth="1"/>
    <col min="8471" max="8471" width="22.19921875" style="47" customWidth="1"/>
    <col min="8472" max="8705" width="13.69921875" style="47"/>
    <col min="8706" max="8706" width="10" style="47" customWidth="1"/>
    <col min="8707" max="8707" width="31.19921875" style="47" customWidth="1"/>
    <col min="8708" max="8709" width="2.09765625" style="47" customWidth="1"/>
    <col min="8710" max="8710" width="46" style="47" customWidth="1"/>
    <col min="8711" max="8711" width="2.3984375" style="47" customWidth="1"/>
    <col min="8712" max="8712" width="2.69921875" style="47" customWidth="1"/>
    <col min="8713" max="8713" width="4.5" style="47" customWidth="1"/>
    <col min="8714" max="8718" width="14.59765625" style="47" customWidth="1"/>
    <col min="8719" max="8719" width="14.8984375" style="47" customWidth="1"/>
    <col min="8720" max="8725" width="14.59765625" style="47" customWidth="1"/>
    <col min="8726" max="8726" width="15.5" style="47" customWidth="1"/>
    <col min="8727" max="8727" width="22.19921875" style="47" customWidth="1"/>
    <col min="8728" max="8961" width="13.69921875" style="47"/>
    <col min="8962" max="8962" width="10" style="47" customWidth="1"/>
    <col min="8963" max="8963" width="31.19921875" style="47" customWidth="1"/>
    <col min="8964" max="8965" width="2.09765625" style="47" customWidth="1"/>
    <col min="8966" max="8966" width="46" style="47" customWidth="1"/>
    <col min="8967" max="8967" width="2.3984375" style="47" customWidth="1"/>
    <col min="8968" max="8968" width="2.69921875" style="47" customWidth="1"/>
    <col min="8969" max="8969" width="4.5" style="47" customWidth="1"/>
    <col min="8970" max="8974" width="14.59765625" style="47" customWidth="1"/>
    <col min="8975" max="8975" width="14.8984375" style="47" customWidth="1"/>
    <col min="8976" max="8981" width="14.59765625" style="47" customWidth="1"/>
    <col min="8982" max="8982" width="15.5" style="47" customWidth="1"/>
    <col min="8983" max="8983" width="22.19921875" style="47" customWidth="1"/>
    <col min="8984" max="9217" width="13.69921875" style="47"/>
    <col min="9218" max="9218" width="10" style="47" customWidth="1"/>
    <col min="9219" max="9219" width="31.19921875" style="47" customWidth="1"/>
    <col min="9220" max="9221" width="2.09765625" style="47" customWidth="1"/>
    <col min="9222" max="9222" width="46" style="47" customWidth="1"/>
    <col min="9223" max="9223" width="2.3984375" style="47" customWidth="1"/>
    <col min="9224" max="9224" width="2.69921875" style="47" customWidth="1"/>
    <col min="9225" max="9225" width="4.5" style="47" customWidth="1"/>
    <col min="9226" max="9230" width="14.59765625" style="47" customWidth="1"/>
    <col min="9231" max="9231" width="14.8984375" style="47" customWidth="1"/>
    <col min="9232" max="9237" width="14.59765625" style="47" customWidth="1"/>
    <col min="9238" max="9238" width="15.5" style="47" customWidth="1"/>
    <col min="9239" max="9239" width="22.19921875" style="47" customWidth="1"/>
    <col min="9240" max="9473" width="13.69921875" style="47"/>
    <col min="9474" max="9474" width="10" style="47" customWidth="1"/>
    <col min="9475" max="9475" width="31.19921875" style="47" customWidth="1"/>
    <col min="9476" max="9477" width="2.09765625" style="47" customWidth="1"/>
    <col min="9478" max="9478" width="46" style="47" customWidth="1"/>
    <col min="9479" max="9479" width="2.3984375" style="47" customWidth="1"/>
    <col min="9480" max="9480" width="2.69921875" style="47" customWidth="1"/>
    <col min="9481" max="9481" width="4.5" style="47" customWidth="1"/>
    <col min="9482" max="9486" width="14.59765625" style="47" customWidth="1"/>
    <col min="9487" max="9487" width="14.8984375" style="47" customWidth="1"/>
    <col min="9488" max="9493" width="14.59765625" style="47" customWidth="1"/>
    <col min="9494" max="9494" width="15.5" style="47" customWidth="1"/>
    <col min="9495" max="9495" width="22.19921875" style="47" customWidth="1"/>
    <col min="9496" max="9729" width="13.69921875" style="47"/>
    <col min="9730" max="9730" width="10" style="47" customWidth="1"/>
    <col min="9731" max="9731" width="31.19921875" style="47" customWidth="1"/>
    <col min="9732" max="9733" width="2.09765625" style="47" customWidth="1"/>
    <col min="9734" max="9734" width="46" style="47" customWidth="1"/>
    <col min="9735" max="9735" width="2.3984375" style="47" customWidth="1"/>
    <col min="9736" max="9736" width="2.69921875" style="47" customWidth="1"/>
    <col min="9737" max="9737" width="4.5" style="47" customWidth="1"/>
    <col min="9738" max="9742" width="14.59765625" style="47" customWidth="1"/>
    <col min="9743" max="9743" width="14.8984375" style="47" customWidth="1"/>
    <col min="9744" max="9749" width="14.59765625" style="47" customWidth="1"/>
    <col min="9750" max="9750" width="15.5" style="47" customWidth="1"/>
    <col min="9751" max="9751" width="22.19921875" style="47" customWidth="1"/>
    <col min="9752" max="9985" width="13.69921875" style="47"/>
    <col min="9986" max="9986" width="10" style="47" customWidth="1"/>
    <col min="9987" max="9987" width="31.19921875" style="47" customWidth="1"/>
    <col min="9988" max="9989" width="2.09765625" style="47" customWidth="1"/>
    <col min="9990" max="9990" width="46" style="47" customWidth="1"/>
    <col min="9991" max="9991" width="2.3984375" style="47" customWidth="1"/>
    <col min="9992" max="9992" width="2.69921875" style="47" customWidth="1"/>
    <col min="9993" max="9993" width="4.5" style="47" customWidth="1"/>
    <col min="9994" max="9998" width="14.59765625" style="47" customWidth="1"/>
    <col min="9999" max="9999" width="14.8984375" style="47" customWidth="1"/>
    <col min="10000" max="10005" width="14.59765625" style="47" customWidth="1"/>
    <col min="10006" max="10006" width="15.5" style="47" customWidth="1"/>
    <col min="10007" max="10007" width="22.19921875" style="47" customWidth="1"/>
    <col min="10008" max="10241" width="13.69921875" style="47"/>
    <col min="10242" max="10242" width="10" style="47" customWidth="1"/>
    <col min="10243" max="10243" width="31.19921875" style="47" customWidth="1"/>
    <col min="10244" max="10245" width="2.09765625" style="47" customWidth="1"/>
    <col min="10246" max="10246" width="46" style="47" customWidth="1"/>
    <col min="10247" max="10247" width="2.3984375" style="47" customWidth="1"/>
    <col min="10248" max="10248" width="2.69921875" style="47" customWidth="1"/>
    <col min="10249" max="10249" width="4.5" style="47" customWidth="1"/>
    <col min="10250" max="10254" width="14.59765625" style="47" customWidth="1"/>
    <col min="10255" max="10255" width="14.8984375" style="47" customWidth="1"/>
    <col min="10256" max="10261" width="14.59765625" style="47" customWidth="1"/>
    <col min="10262" max="10262" width="15.5" style="47" customWidth="1"/>
    <col min="10263" max="10263" width="22.19921875" style="47" customWidth="1"/>
    <col min="10264" max="10497" width="13.69921875" style="47"/>
    <col min="10498" max="10498" width="10" style="47" customWidth="1"/>
    <col min="10499" max="10499" width="31.19921875" style="47" customWidth="1"/>
    <col min="10500" max="10501" width="2.09765625" style="47" customWidth="1"/>
    <col min="10502" max="10502" width="46" style="47" customWidth="1"/>
    <col min="10503" max="10503" width="2.3984375" style="47" customWidth="1"/>
    <col min="10504" max="10504" width="2.69921875" style="47" customWidth="1"/>
    <col min="10505" max="10505" width="4.5" style="47" customWidth="1"/>
    <col min="10506" max="10510" width="14.59765625" style="47" customWidth="1"/>
    <col min="10511" max="10511" width="14.8984375" style="47" customWidth="1"/>
    <col min="10512" max="10517" width="14.59765625" style="47" customWidth="1"/>
    <col min="10518" max="10518" width="15.5" style="47" customWidth="1"/>
    <col min="10519" max="10519" width="22.19921875" style="47" customWidth="1"/>
    <col min="10520" max="10753" width="13.69921875" style="47"/>
    <col min="10754" max="10754" width="10" style="47" customWidth="1"/>
    <col min="10755" max="10755" width="31.19921875" style="47" customWidth="1"/>
    <col min="10756" max="10757" width="2.09765625" style="47" customWidth="1"/>
    <col min="10758" max="10758" width="46" style="47" customWidth="1"/>
    <col min="10759" max="10759" width="2.3984375" style="47" customWidth="1"/>
    <col min="10760" max="10760" width="2.69921875" style="47" customWidth="1"/>
    <col min="10761" max="10761" width="4.5" style="47" customWidth="1"/>
    <col min="10762" max="10766" width="14.59765625" style="47" customWidth="1"/>
    <col min="10767" max="10767" width="14.8984375" style="47" customWidth="1"/>
    <col min="10768" max="10773" width="14.59765625" style="47" customWidth="1"/>
    <col min="10774" max="10774" width="15.5" style="47" customWidth="1"/>
    <col min="10775" max="10775" width="22.19921875" style="47" customWidth="1"/>
    <col min="10776" max="11009" width="13.69921875" style="47"/>
    <col min="11010" max="11010" width="10" style="47" customWidth="1"/>
    <col min="11011" max="11011" width="31.19921875" style="47" customWidth="1"/>
    <col min="11012" max="11013" width="2.09765625" style="47" customWidth="1"/>
    <col min="11014" max="11014" width="46" style="47" customWidth="1"/>
    <col min="11015" max="11015" width="2.3984375" style="47" customWidth="1"/>
    <col min="11016" max="11016" width="2.69921875" style="47" customWidth="1"/>
    <col min="11017" max="11017" width="4.5" style="47" customWidth="1"/>
    <col min="11018" max="11022" width="14.59765625" style="47" customWidth="1"/>
    <col min="11023" max="11023" width="14.8984375" style="47" customWidth="1"/>
    <col min="11024" max="11029" width="14.59765625" style="47" customWidth="1"/>
    <col min="11030" max="11030" width="15.5" style="47" customWidth="1"/>
    <col min="11031" max="11031" width="22.19921875" style="47" customWidth="1"/>
    <col min="11032" max="11265" width="13.69921875" style="47"/>
    <col min="11266" max="11266" width="10" style="47" customWidth="1"/>
    <col min="11267" max="11267" width="31.19921875" style="47" customWidth="1"/>
    <col min="11268" max="11269" width="2.09765625" style="47" customWidth="1"/>
    <col min="11270" max="11270" width="46" style="47" customWidth="1"/>
    <col min="11271" max="11271" width="2.3984375" style="47" customWidth="1"/>
    <col min="11272" max="11272" width="2.69921875" style="47" customWidth="1"/>
    <col min="11273" max="11273" width="4.5" style="47" customWidth="1"/>
    <col min="11274" max="11278" width="14.59765625" style="47" customWidth="1"/>
    <col min="11279" max="11279" width="14.8984375" style="47" customWidth="1"/>
    <col min="11280" max="11285" width="14.59765625" style="47" customWidth="1"/>
    <col min="11286" max="11286" width="15.5" style="47" customWidth="1"/>
    <col min="11287" max="11287" width="22.19921875" style="47" customWidth="1"/>
    <col min="11288" max="11521" width="13.69921875" style="47"/>
    <col min="11522" max="11522" width="10" style="47" customWidth="1"/>
    <col min="11523" max="11523" width="31.19921875" style="47" customWidth="1"/>
    <col min="11524" max="11525" width="2.09765625" style="47" customWidth="1"/>
    <col min="11526" max="11526" width="46" style="47" customWidth="1"/>
    <col min="11527" max="11527" width="2.3984375" style="47" customWidth="1"/>
    <col min="11528" max="11528" width="2.69921875" style="47" customWidth="1"/>
    <col min="11529" max="11529" width="4.5" style="47" customWidth="1"/>
    <col min="11530" max="11534" width="14.59765625" style="47" customWidth="1"/>
    <col min="11535" max="11535" width="14.8984375" style="47" customWidth="1"/>
    <col min="11536" max="11541" width="14.59765625" style="47" customWidth="1"/>
    <col min="11542" max="11542" width="15.5" style="47" customWidth="1"/>
    <col min="11543" max="11543" width="22.19921875" style="47" customWidth="1"/>
    <col min="11544" max="11777" width="13.69921875" style="47"/>
    <col min="11778" max="11778" width="10" style="47" customWidth="1"/>
    <col min="11779" max="11779" width="31.19921875" style="47" customWidth="1"/>
    <col min="11780" max="11781" width="2.09765625" style="47" customWidth="1"/>
    <col min="11782" max="11782" width="46" style="47" customWidth="1"/>
    <col min="11783" max="11783" width="2.3984375" style="47" customWidth="1"/>
    <col min="11784" max="11784" width="2.69921875" style="47" customWidth="1"/>
    <col min="11785" max="11785" width="4.5" style="47" customWidth="1"/>
    <col min="11786" max="11790" width="14.59765625" style="47" customWidth="1"/>
    <col min="11791" max="11791" width="14.8984375" style="47" customWidth="1"/>
    <col min="11792" max="11797" width="14.59765625" style="47" customWidth="1"/>
    <col min="11798" max="11798" width="15.5" style="47" customWidth="1"/>
    <col min="11799" max="11799" width="22.19921875" style="47" customWidth="1"/>
    <col min="11800" max="12033" width="13.69921875" style="47"/>
    <col min="12034" max="12034" width="10" style="47" customWidth="1"/>
    <col min="12035" max="12035" width="31.19921875" style="47" customWidth="1"/>
    <col min="12036" max="12037" width="2.09765625" style="47" customWidth="1"/>
    <col min="12038" max="12038" width="46" style="47" customWidth="1"/>
    <col min="12039" max="12039" width="2.3984375" style="47" customWidth="1"/>
    <col min="12040" max="12040" width="2.69921875" style="47" customWidth="1"/>
    <col min="12041" max="12041" width="4.5" style="47" customWidth="1"/>
    <col min="12042" max="12046" width="14.59765625" style="47" customWidth="1"/>
    <col min="12047" max="12047" width="14.8984375" style="47" customWidth="1"/>
    <col min="12048" max="12053" width="14.59765625" style="47" customWidth="1"/>
    <col min="12054" max="12054" width="15.5" style="47" customWidth="1"/>
    <col min="12055" max="12055" width="22.19921875" style="47" customWidth="1"/>
    <col min="12056" max="12289" width="13.69921875" style="47"/>
    <col min="12290" max="12290" width="10" style="47" customWidth="1"/>
    <col min="12291" max="12291" width="31.19921875" style="47" customWidth="1"/>
    <col min="12292" max="12293" width="2.09765625" style="47" customWidth="1"/>
    <col min="12294" max="12294" width="46" style="47" customWidth="1"/>
    <col min="12295" max="12295" width="2.3984375" style="47" customWidth="1"/>
    <col min="12296" max="12296" width="2.69921875" style="47" customWidth="1"/>
    <col min="12297" max="12297" width="4.5" style="47" customWidth="1"/>
    <col min="12298" max="12302" width="14.59765625" style="47" customWidth="1"/>
    <col min="12303" max="12303" width="14.8984375" style="47" customWidth="1"/>
    <col min="12304" max="12309" width="14.59765625" style="47" customWidth="1"/>
    <col min="12310" max="12310" width="15.5" style="47" customWidth="1"/>
    <col min="12311" max="12311" width="22.19921875" style="47" customWidth="1"/>
    <col min="12312" max="12545" width="13.69921875" style="47"/>
    <col min="12546" max="12546" width="10" style="47" customWidth="1"/>
    <col min="12547" max="12547" width="31.19921875" style="47" customWidth="1"/>
    <col min="12548" max="12549" width="2.09765625" style="47" customWidth="1"/>
    <col min="12550" max="12550" width="46" style="47" customWidth="1"/>
    <col min="12551" max="12551" width="2.3984375" style="47" customWidth="1"/>
    <col min="12552" max="12552" width="2.69921875" style="47" customWidth="1"/>
    <col min="12553" max="12553" width="4.5" style="47" customWidth="1"/>
    <col min="12554" max="12558" width="14.59765625" style="47" customWidth="1"/>
    <col min="12559" max="12559" width="14.8984375" style="47" customWidth="1"/>
    <col min="12560" max="12565" width="14.59765625" style="47" customWidth="1"/>
    <col min="12566" max="12566" width="15.5" style="47" customWidth="1"/>
    <col min="12567" max="12567" width="22.19921875" style="47" customWidth="1"/>
    <col min="12568" max="12801" width="13.69921875" style="47"/>
    <col min="12802" max="12802" width="10" style="47" customWidth="1"/>
    <col min="12803" max="12803" width="31.19921875" style="47" customWidth="1"/>
    <col min="12804" max="12805" width="2.09765625" style="47" customWidth="1"/>
    <col min="12806" max="12806" width="46" style="47" customWidth="1"/>
    <col min="12807" max="12807" width="2.3984375" style="47" customWidth="1"/>
    <col min="12808" max="12808" width="2.69921875" style="47" customWidth="1"/>
    <col min="12809" max="12809" width="4.5" style="47" customWidth="1"/>
    <col min="12810" max="12814" width="14.59765625" style="47" customWidth="1"/>
    <col min="12815" max="12815" width="14.8984375" style="47" customWidth="1"/>
    <col min="12816" max="12821" width="14.59765625" style="47" customWidth="1"/>
    <col min="12822" max="12822" width="15.5" style="47" customWidth="1"/>
    <col min="12823" max="12823" width="22.19921875" style="47" customWidth="1"/>
    <col min="12824" max="13057" width="13.69921875" style="47"/>
    <col min="13058" max="13058" width="10" style="47" customWidth="1"/>
    <col min="13059" max="13059" width="31.19921875" style="47" customWidth="1"/>
    <col min="13060" max="13061" width="2.09765625" style="47" customWidth="1"/>
    <col min="13062" max="13062" width="46" style="47" customWidth="1"/>
    <col min="13063" max="13063" width="2.3984375" style="47" customWidth="1"/>
    <col min="13064" max="13064" width="2.69921875" style="47" customWidth="1"/>
    <col min="13065" max="13065" width="4.5" style="47" customWidth="1"/>
    <col min="13066" max="13070" width="14.59765625" style="47" customWidth="1"/>
    <col min="13071" max="13071" width="14.8984375" style="47" customWidth="1"/>
    <col min="13072" max="13077" width="14.59765625" style="47" customWidth="1"/>
    <col min="13078" max="13078" width="15.5" style="47" customWidth="1"/>
    <col min="13079" max="13079" width="22.19921875" style="47" customWidth="1"/>
    <col min="13080" max="13313" width="13.69921875" style="47"/>
    <col min="13314" max="13314" width="10" style="47" customWidth="1"/>
    <col min="13315" max="13315" width="31.19921875" style="47" customWidth="1"/>
    <col min="13316" max="13317" width="2.09765625" style="47" customWidth="1"/>
    <col min="13318" max="13318" width="46" style="47" customWidth="1"/>
    <col min="13319" max="13319" width="2.3984375" style="47" customWidth="1"/>
    <col min="13320" max="13320" width="2.69921875" style="47" customWidth="1"/>
    <col min="13321" max="13321" width="4.5" style="47" customWidth="1"/>
    <col min="13322" max="13326" width="14.59765625" style="47" customWidth="1"/>
    <col min="13327" max="13327" width="14.8984375" style="47" customWidth="1"/>
    <col min="13328" max="13333" width="14.59765625" style="47" customWidth="1"/>
    <col min="13334" max="13334" width="15.5" style="47" customWidth="1"/>
    <col min="13335" max="13335" width="22.19921875" style="47" customWidth="1"/>
    <col min="13336" max="13569" width="13.69921875" style="47"/>
    <col min="13570" max="13570" width="10" style="47" customWidth="1"/>
    <col min="13571" max="13571" width="31.19921875" style="47" customWidth="1"/>
    <col min="13572" max="13573" width="2.09765625" style="47" customWidth="1"/>
    <col min="13574" max="13574" width="46" style="47" customWidth="1"/>
    <col min="13575" max="13575" width="2.3984375" style="47" customWidth="1"/>
    <col min="13576" max="13576" width="2.69921875" style="47" customWidth="1"/>
    <col min="13577" max="13577" width="4.5" style="47" customWidth="1"/>
    <col min="13578" max="13582" width="14.59765625" style="47" customWidth="1"/>
    <col min="13583" max="13583" width="14.8984375" style="47" customWidth="1"/>
    <col min="13584" max="13589" width="14.59765625" style="47" customWidth="1"/>
    <col min="13590" max="13590" width="15.5" style="47" customWidth="1"/>
    <col min="13591" max="13591" width="22.19921875" style="47" customWidth="1"/>
    <col min="13592" max="13825" width="13.69921875" style="47"/>
    <col min="13826" max="13826" width="10" style="47" customWidth="1"/>
    <col min="13827" max="13827" width="31.19921875" style="47" customWidth="1"/>
    <col min="13828" max="13829" width="2.09765625" style="47" customWidth="1"/>
    <col min="13830" max="13830" width="46" style="47" customWidth="1"/>
    <col min="13831" max="13831" width="2.3984375" style="47" customWidth="1"/>
    <col min="13832" max="13832" width="2.69921875" style="47" customWidth="1"/>
    <col min="13833" max="13833" width="4.5" style="47" customWidth="1"/>
    <col min="13834" max="13838" width="14.59765625" style="47" customWidth="1"/>
    <col min="13839" max="13839" width="14.8984375" style="47" customWidth="1"/>
    <col min="13840" max="13845" width="14.59765625" style="47" customWidth="1"/>
    <col min="13846" max="13846" width="15.5" style="47" customWidth="1"/>
    <col min="13847" max="13847" width="22.19921875" style="47" customWidth="1"/>
    <col min="13848" max="14081" width="13.69921875" style="47"/>
    <col min="14082" max="14082" width="10" style="47" customWidth="1"/>
    <col min="14083" max="14083" width="31.19921875" style="47" customWidth="1"/>
    <col min="14084" max="14085" width="2.09765625" style="47" customWidth="1"/>
    <col min="14086" max="14086" width="46" style="47" customWidth="1"/>
    <col min="14087" max="14087" width="2.3984375" style="47" customWidth="1"/>
    <col min="14088" max="14088" width="2.69921875" style="47" customWidth="1"/>
    <col min="14089" max="14089" width="4.5" style="47" customWidth="1"/>
    <col min="14090" max="14094" width="14.59765625" style="47" customWidth="1"/>
    <col min="14095" max="14095" width="14.8984375" style="47" customWidth="1"/>
    <col min="14096" max="14101" width="14.59765625" style="47" customWidth="1"/>
    <col min="14102" max="14102" width="15.5" style="47" customWidth="1"/>
    <col min="14103" max="14103" width="22.19921875" style="47" customWidth="1"/>
    <col min="14104" max="14337" width="13.69921875" style="47"/>
    <col min="14338" max="14338" width="10" style="47" customWidth="1"/>
    <col min="14339" max="14339" width="31.19921875" style="47" customWidth="1"/>
    <col min="14340" max="14341" width="2.09765625" style="47" customWidth="1"/>
    <col min="14342" max="14342" width="46" style="47" customWidth="1"/>
    <col min="14343" max="14343" width="2.3984375" style="47" customWidth="1"/>
    <col min="14344" max="14344" width="2.69921875" style="47" customWidth="1"/>
    <col min="14345" max="14345" width="4.5" style="47" customWidth="1"/>
    <col min="14346" max="14350" width="14.59765625" style="47" customWidth="1"/>
    <col min="14351" max="14351" width="14.8984375" style="47" customWidth="1"/>
    <col min="14352" max="14357" width="14.59765625" style="47" customWidth="1"/>
    <col min="14358" max="14358" width="15.5" style="47" customWidth="1"/>
    <col min="14359" max="14359" width="22.19921875" style="47" customWidth="1"/>
    <col min="14360" max="14593" width="13.69921875" style="47"/>
    <col min="14594" max="14594" width="10" style="47" customWidth="1"/>
    <col min="14595" max="14595" width="31.19921875" style="47" customWidth="1"/>
    <col min="14596" max="14597" width="2.09765625" style="47" customWidth="1"/>
    <col min="14598" max="14598" width="46" style="47" customWidth="1"/>
    <col min="14599" max="14599" width="2.3984375" style="47" customWidth="1"/>
    <col min="14600" max="14600" width="2.69921875" style="47" customWidth="1"/>
    <col min="14601" max="14601" width="4.5" style="47" customWidth="1"/>
    <col min="14602" max="14606" width="14.59765625" style="47" customWidth="1"/>
    <col min="14607" max="14607" width="14.8984375" style="47" customWidth="1"/>
    <col min="14608" max="14613" width="14.59765625" style="47" customWidth="1"/>
    <col min="14614" max="14614" width="15.5" style="47" customWidth="1"/>
    <col min="14615" max="14615" width="22.19921875" style="47" customWidth="1"/>
    <col min="14616" max="14849" width="13.69921875" style="47"/>
    <col min="14850" max="14850" width="10" style="47" customWidth="1"/>
    <col min="14851" max="14851" width="31.19921875" style="47" customWidth="1"/>
    <col min="14852" max="14853" width="2.09765625" style="47" customWidth="1"/>
    <col min="14854" max="14854" width="46" style="47" customWidth="1"/>
    <col min="14855" max="14855" width="2.3984375" style="47" customWidth="1"/>
    <col min="14856" max="14856" width="2.69921875" style="47" customWidth="1"/>
    <col min="14857" max="14857" width="4.5" style="47" customWidth="1"/>
    <col min="14858" max="14862" width="14.59765625" style="47" customWidth="1"/>
    <col min="14863" max="14863" width="14.8984375" style="47" customWidth="1"/>
    <col min="14864" max="14869" width="14.59765625" style="47" customWidth="1"/>
    <col min="14870" max="14870" width="15.5" style="47" customWidth="1"/>
    <col min="14871" max="14871" width="22.19921875" style="47" customWidth="1"/>
    <col min="14872" max="15105" width="13.69921875" style="47"/>
    <col min="15106" max="15106" width="10" style="47" customWidth="1"/>
    <col min="15107" max="15107" width="31.19921875" style="47" customWidth="1"/>
    <col min="15108" max="15109" width="2.09765625" style="47" customWidth="1"/>
    <col min="15110" max="15110" width="46" style="47" customWidth="1"/>
    <col min="15111" max="15111" width="2.3984375" style="47" customWidth="1"/>
    <col min="15112" max="15112" width="2.69921875" style="47" customWidth="1"/>
    <col min="15113" max="15113" width="4.5" style="47" customWidth="1"/>
    <col min="15114" max="15118" width="14.59765625" style="47" customWidth="1"/>
    <col min="15119" max="15119" width="14.8984375" style="47" customWidth="1"/>
    <col min="15120" max="15125" width="14.59765625" style="47" customWidth="1"/>
    <col min="15126" max="15126" width="15.5" style="47" customWidth="1"/>
    <col min="15127" max="15127" width="22.19921875" style="47" customWidth="1"/>
    <col min="15128" max="15361" width="13.69921875" style="47"/>
    <col min="15362" max="15362" width="10" style="47" customWidth="1"/>
    <col min="15363" max="15363" width="31.19921875" style="47" customWidth="1"/>
    <col min="15364" max="15365" width="2.09765625" style="47" customWidth="1"/>
    <col min="15366" max="15366" width="46" style="47" customWidth="1"/>
    <col min="15367" max="15367" width="2.3984375" style="47" customWidth="1"/>
    <col min="15368" max="15368" width="2.69921875" style="47" customWidth="1"/>
    <col min="15369" max="15369" width="4.5" style="47" customWidth="1"/>
    <col min="15370" max="15374" width="14.59765625" style="47" customWidth="1"/>
    <col min="15375" max="15375" width="14.8984375" style="47" customWidth="1"/>
    <col min="15376" max="15381" width="14.59765625" style="47" customWidth="1"/>
    <col min="15382" max="15382" width="15.5" style="47" customWidth="1"/>
    <col min="15383" max="15383" width="22.19921875" style="47" customWidth="1"/>
    <col min="15384" max="15617" width="13.69921875" style="47"/>
    <col min="15618" max="15618" width="10" style="47" customWidth="1"/>
    <col min="15619" max="15619" width="31.19921875" style="47" customWidth="1"/>
    <col min="15620" max="15621" width="2.09765625" style="47" customWidth="1"/>
    <col min="15622" max="15622" width="46" style="47" customWidth="1"/>
    <col min="15623" max="15623" width="2.3984375" style="47" customWidth="1"/>
    <col min="15624" max="15624" width="2.69921875" style="47" customWidth="1"/>
    <col min="15625" max="15625" width="4.5" style="47" customWidth="1"/>
    <col min="15626" max="15630" width="14.59765625" style="47" customWidth="1"/>
    <col min="15631" max="15631" width="14.8984375" style="47" customWidth="1"/>
    <col min="15632" max="15637" width="14.59765625" style="47" customWidth="1"/>
    <col min="15638" max="15638" width="15.5" style="47" customWidth="1"/>
    <col min="15639" max="15639" width="22.19921875" style="47" customWidth="1"/>
    <col min="15640" max="15873" width="13.69921875" style="47"/>
    <col min="15874" max="15874" width="10" style="47" customWidth="1"/>
    <col min="15875" max="15875" width="31.19921875" style="47" customWidth="1"/>
    <col min="15876" max="15877" width="2.09765625" style="47" customWidth="1"/>
    <col min="15878" max="15878" width="46" style="47" customWidth="1"/>
    <col min="15879" max="15879" width="2.3984375" style="47" customWidth="1"/>
    <col min="15880" max="15880" width="2.69921875" style="47" customWidth="1"/>
    <col min="15881" max="15881" width="4.5" style="47" customWidth="1"/>
    <col min="15882" max="15886" width="14.59765625" style="47" customWidth="1"/>
    <col min="15887" max="15887" width="14.8984375" style="47" customWidth="1"/>
    <col min="15888" max="15893" width="14.59765625" style="47" customWidth="1"/>
    <col min="15894" max="15894" width="15.5" style="47" customWidth="1"/>
    <col min="15895" max="15895" width="22.19921875" style="47" customWidth="1"/>
    <col min="15896" max="16129" width="13.69921875" style="47"/>
    <col min="16130" max="16130" width="10" style="47" customWidth="1"/>
    <col min="16131" max="16131" width="31.19921875" style="47" customWidth="1"/>
    <col min="16132" max="16133" width="2.09765625" style="47" customWidth="1"/>
    <col min="16134" max="16134" width="46" style="47" customWidth="1"/>
    <col min="16135" max="16135" width="2.3984375" style="47" customWidth="1"/>
    <col min="16136" max="16136" width="2.69921875" style="47" customWidth="1"/>
    <col min="16137" max="16137" width="4.5" style="47" customWidth="1"/>
    <col min="16138" max="16142" width="14.59765625" style="47" customWidth="1"/>
    <col min="16143" max="16143" width="14.8984375" style="47" customWidth="1"/>
    <col min="16144" max="16149" width="14.59765625" style="47" customWidth="1"/>
    <col min="16150" max="16150" width="15.5" style="47" customWidth="1"/>
    <col min="16151" max="16151" width="22.19921875" style="47" customWidth="1"/>
    <col min="16152" max="16384" width="13.69921875" style="47"/>
  </cols>
  <sheetData>
    <row r="1" spans="1:37">
      <c r="A1" s="53"/>
      <c r="B1" s="53"/>
      <c r="C1" s="52"/>
      <c r="D1" s="53"/>
      <c r="E1" s="52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37" ht="16.8">
      <c r="A2" s="105" t="s">
        <v>448</v>
      </c>
      <c r="B2" s="106" t="s">
        <v>446</v>
      </c>
      <c r="C2" s="53"/>
      <c r="D2" s="53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37" ht="16.8">
      <c r="A3" s="105" t="s">
        <v>447</v>
      </c>
      <c r="B3" s="106" t="s">
        <v>447</v>
      </c>
      <c r="C3" s="113"/>
      <c r="D3" s="113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</row>
    <row r="4" spans="1:37" ht="16.8">
      <c r="A4" s="53"/>
      <c r="B4" s="106"/>
      <c r="C4" s="51"/>
      <c r="D4" s="79"/>
      <c r="E4" s="53"/>
      <c r="F4" s="70"/>
      <c r="G4" s="70"/>
      <c r="H4" s="80"/>
      <c r="I4" s="80" t="str">
        <f>MonthlyFcstAdj!K3</f>
        <v>CYF2020.P1; Dept.Dept NOT IN (0)</v>
      </c>
      <c r="J4" s="80" t="str">
        <f>MonthlyFcstAdj!L3</f>
        <v>CYF2020.P2; Dept.Dept NOT IN (0)</v>
      </c>
      <c r="K4" s="80" t="str">
        <f>MonthlyFcstAdj!M3</f>
        <v>CYF2020.P3; Dept.Dept NOT IN (0)</v>
      </c>
      <c r="L4" s="80" t="str">
        <f>MonthlyFcstAdj!N3</f>
        <v>CYF2020.P4; Dept.Dept NOT IN (0)</v>
      </c>
      <c r="M4" s="80" t="str">
        <f>MonthlyFcstAdj!O3</f>
        <v>CYF2020.P5; Dept.Dept NOT IN (0)</v>
      </c>
      <c r="N4" s="80" t="str">
        <f>MonthlyFcstAdj!P3</f>
        <v>CYF2020.P6; Dept.Dept NOT IN (0)</v>
      </c>
      <c r="O4" s="80" t="str">
        <f>MonthlyFcstAdj!Q3</f>
        <v>CYF2020.P7; Dept.Dept NOT IN (0)</v>
      </c>
      <c r="P4" s="80" t="str">
        <f>MonthlyFcstAdj!R3</f>
        <v>CYF2020.P8; Dept.Dept NOT IN (0)</v>
      </c>
      <c r="Q4" s="80" t="str">
        <f>MonthlyFcstAdj!S3</f>
        <v>CYF2020.P9; Dept.Dept NOT IN (0)</v>
      </c>
      <c r="R4" s="80" t="str">
        <f>MonthlyFcstAdj!T3</f>
        <v>CYF2020.P10; Dept.Dept NOT IN (0)</v>
      </c>
      <c r="S4" s="80" t="str">
        <f>MonthlyFcstAdj!U3</f>
        <v>CYF2020.P11; Dept.Dept NOT IN (0)</v>
      </c>
      <c r="T4" s="80" t="str">
        <f>MonthlyFcstAdj!V3</f>
        <v>CYF2020.P12; Dept.Dept NOT IN (0)</v>
      </c>
      <c r="U4" s="80">
        <f>SUM(I4:T4)</f>
        <v>0</v>
      </c>
      <c r="V4" s="80"/>
      <c r="W4" s="80" t="str">
        <f>MonthlyFcstAdj!Y3</f>
        <v>BUD2020.TOT</v>
      </c>
      <c r="X4" s="81"/>
      <c r="Y4" s="81"/>
      <c r="Z4" s="80"/>
      <c r="AA4" s="64"/>
      <c r="AB4" s="64"/>
      <c r="AC4" s="64"/>
      <c r="AD4" s="64"/>
      <c r="AE4" s="64"/>
      <c r="AF4" s="64"/>
      <c r="AG4" s="64"/>
    </row>
    <row r="5" spans="1:37" ht="16.8">
      <c r="A5" s="106"/>
      <c r="B5" s="106"/>
      <c r="C5" s="114"/>
      <c r="D5" s="106" t="s">
        <v>259</v>
      </c>
      <c r="E5" s="106"/>
      <c r="F5" s="106"/>
      <c r="G5" s="106"/>
      <c r="H5" s="106"/>
      <c r="I5" s="106">
        <f>MonthlyFcstAdj!K19</f>
        <v>176.65753424657501</v>
      </c>
      <c r="J5" s="106">
        <f>MonthlyFcstAdj!L19</f>
        <v>176.65753424657501</v>
      </c>
      <c r="K5" s="106">
        <f>MonthlyFcstAdj!M19</f>
        <v>170.95890410958901</v>
      </c>
      <c r="L5" s="106">
        <f>MonthlyFcstAdj!N19</f>
        <v>176.65753424657501</v>
      </c>
      <c r="M5" s="106">
        <f>MonthlyFcstAdj!O19</f>
        <v>170.95890410958901</v>
      </c>
      <c r="N5" s="106">
        <f>MonthlyFcstAdj!P19</f>
        <v>176.65753424657501</v>
      </c>
      <c r="O5" s="106">
        <f>MonthlyFcstAdj!Q19</f>
        <v>176.65753424657501</v>
      </c>
      <c r="P5" s="106">
        <f>MonthlyFcstAdj!R19</f>
        <v>167.561643835616</v>
      </c>
      <c r="Q5" s="106">
        <f>MonthlyFcstAdj!S19</f>
        <v>176.65753424657501</v>
      </c>
      <c r="R5" s="106">
        <f>MonthlyFcstAdj!T19</f>
        <v>170.95890410958901</v>
      </c>
      <c r="S5" s="106">
        <f>MonthlyFcstAdj!U19</f>
        <v>176.65753424657501</v>
      </c>
      <c r="T5" s="106">
        <f>MonthlyFcstAdj!V19</f>
        <v>170.95890410958901</v>
      </c>
      <c r="U5" s="106">
        <f>SUM(I5:T5)</f>
        <v>2087.9999999999973</v>
      </c>
      <c r="V5" s="106"/>
      <c r="W5" s="106">
        <f>MonthlyFcstAdj!Y19</f>
        <v>2087.9999999999973</v>
      </c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ht="16.8">
      <c r="B6" s="106"/>
      <c r="C6" s="51"/>
      <c r="E6" s="48" t="s">
        <v>201</v>
      </c>
    </row>
    <row r="7" spans="1:37" ht="16.8">
      <c r="B7" s="106" t="s">
        <v>446</v>
      </c>
      <c r="C7" s="51"/>
      <c r="E7" s="48" t="s">
        <v>260</v>
      </c>
      <c r="I7" s="54"/>
    </row>
    <row r="8" spans="1:37" ht="16.8">
      <c r="B8" s="106" t="s">
        <v>447</v>
      </c>
      <c r="C8" s="51"/>
      <c r="E8" s="48" t="s">
        <v>261</v>
      </c>
    </row>
    <row r="9" spans="1:37">
      <c r="B9" s="48"/>
      <c r="C9" s="51"/>
      <c r="E9" s="48" t="s">
        <v>262</v>
      </c>
    </row>
    <row r="10" spans="1:37">
      <c r="B10" s="48"/>
      <c r="C10" s="51"/>
      <c r="E10" s="48" t="s">
        <v>263</v>
      </c>
    </row>
    <row r="11" spans="1:37">
      <c r="B11" s="48"/>
      <c r="C11" s="51"/>
      <c r="E11" s="48" t="s">
        <v>264</v>
      </c>
    </row>
    <row r="12" spans="1:37">
      <c r="B12" s="48"/>
      <c r="C12" s="51"/>
      <c r="E12" s="48" t="s">
        <v>265</v>
      </c>
      <c r="I12" s="47">
        <f>MonthlyFcstAdj!K26</f>
        <v>31</v>
      </c>
      <c r="J12" s="47">
        <f>MonthlyFcstAdj!L26</f>
        <v>31</v>
      </c>
      <c r="K12" s="47">
        <f>MonthlyFcstAdj!M26</f>
        <v>30</v>
      </c>
      <c r="L12" s="47">
        <f>MonthlyFcstAdj!N26</f>
        <v>31</v>
      </c>
      <c r="M12" s="47">
        <f>MonthlyFcstAdj!O26</f>
        <v>30</v>
      </c>
      <c r="N12" s="47">
        <f>MonthlyFcstAdj!P26</f>
        <v>31</v>
      </c>
      <c r="O12" s="47">
        <f>MonthlyFcstAdj!Q26</f>
        <v>31</v>
      </c>
      <c r="P12" s="47">
        <f>MonthlyFcstAdj!R26</f>
        <v>29</v>
      </c>
      <c r="Q12" s="47">
        <f>MonthlyFcstAdj!S26</f>
        <v>31</v>
      </c>
      <c r="R12" s="47">
        <f>MonthlyFcstAdj!T26</f>
        <v>30</v>
      </c>
      <c r="S12" s="47">
        <f>MonthlyFcstAdj!U26</f>
        <v>31</v>
      </c>
      <c r="T12" s="47">
        <f>MonthlyFcstAdj!V26</f>
        <v>30</v>
      </c>
      <c r="U12" s="47">
        <f>SUM(I12:T12)</f>
        <v>366</v>
      </c>
      <c r="W12" s="55">
        <f>MonthlyFcstAdj!Y26</f>
        <v>366</v>
      </c>
    </row>
    <row r="13" spans="1:37">
      <c r="A13" s="55"/>
      <c r="B13" s="56"/>
      <c r="C13" s="51"/>
      <c r="D13" s="55"/>
      <c r="E13" s="57"/>
    </row>
    <row r="14" spans="1:37">
      <c r="A14" s="55"/>
      <c r="B14" s="55"/>
      <c r="C14" s="51"/>
      <c r="D14" s="58"/>
      <c r="E14" s="57"/>
    </row>
    <row r="15" spans="1:37">
      <c r="A15" s="55"/>
      <c r="B15" s="55"/>
      <c r="C15" s="51"/>
      <c r="D15" s="58"/>
      <c r="E15" s="57"/>
    </row>
    <row r="16" spans="1:37">
      <c r="A16" s="55"/>
      <c r="B16" s="55" t="s">
        <v>266</v>
      </c>
      <c r="C16" s="51"/>
      <c r="D16" s="58" t="s">
        <v>216</v>
      </c>
      <c r="E16" s="57"/>
      <c r="I16" s="47" t="str">
        <f t="shared" ref="I16:T16" si="0">IF(I14,"",I4)</f>
        <v>CYF2020.P1; Dept.Dept NOT IN (0)</v>
      </c>
      <c r="J16" s="47" t="str">
        <f t="shared" si="0"/>
        <v>CYF2020.P2; Dept.Dept NOT IN (0)</v>
      </c>
      <c r="K16" s="47" t="str">
        <f t="shared" si="0"/>
        <v>CYF2020.P3; Dept.Dept NOT IN (0)</v>
      </c>
      <c r="L16" s="47" t="str">
        <f t="shared" si="0"/>
        <v>CYF2020.P4; Dept.Dept NOT IN (0)</v>
      </c>
      <c r="M16" s="47" t="str">
        <f t="shared" si="0"/>
        <v>CYF2020.P5; Dept.Dept NOT IN (0)</v>
      </c>
      <c r="N16" s="47" t="str">
        <f t="shared" si="0"/>
        <v>CYF2020.P6; Dept.Dept NOT IN (0)</v>
      </c>
      <c r="O16" s="47" t="str">
        <f t="shared" si="0"/>
        <v>CYF2020.P7; Dept.Dept NOT IN (0)</v>
      </c>
      <c r="P16" s="47" t="str">
        <f t="shared" si="0"/>
        <v>CYF2020.P8; Dept.Dept NOT IN (0)</v>
      </c>
      <c r="Q16" s="47" t="str">
        <f t="shared" si="0"/>
        <v>CYF2020.P9; Dept.Dept NOT IN (0)</v>
      </c>
      <c r="R16" s="47" t="str">
        <f t="shared" si="0"/>
        <v>CYF2020.P10; Dept.Dept NOT IN (0)</v>
      </c>
      <c r="S16" s="47" t="str">
        <f t="shared" si="0"/>
        <v>CYF2020.P11; Dept.Dept NOT IN (0)</v>
      </c>
      <c r="T16" s="47" t="str">
        <f t="shared" si="0"/>
        <v>CYF2020.P12; Dept.Dept NOT IN (0)</v>
      </c>
      <c r="W16" s="55" t="str">
        <f t="shared" ref="W16" si="1">IF(W14,"",W4)</f>
        <v>BUD2020.TOT</v>
      </c>
    </row>
    <row r="17" spans="1:37">
      <c r="A17" s="55"/>
      <c r="B17" s="55"/>
      <c r="C17" s="51"/>
      <c r="D17" s="58"/>
      <c r="E17" s="57"/>
    </row>
    <row r="18" spans="1:37" s="46" customFormat="1" ht="27">
      <c r="A18" s="59"/>
      <c r="B18" s="59"/>
      <c r="C18" s="51"/>
      <c r="E18" s="119" t="s">
        <v>267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50"/>
      <c r="Y18" s="50"/>
      <c r="Z18" s="50"/>
    </row>
    <row r="19" spans="1:37" s="46" customFormat="1" ht="19.2">
      <c r="A19" s="59"/>
      <c r="B19" s="59"/>
      <c r="C19" s="51"/>
      <c r="E19" s="92" t="str">
        <f>Variables!$I$21</f>
        <v>KHA Health</v>
      </c>
      <c r="F19" s="120"/>
      <c r="G19" s="120"/>
      <c r="H19" s="120"/>
      <c r="I19" s="50"/>
      <c r="J19" s="50"/>
      <c r="K19" s="62"/>
      <c r="L19" s="50"/>
      <c r="M19" s="50"/>
      <c r="N19" s="50"/>
      <c r="O19" s="50"/>
      <c r="P19" s="50"/>
      <c r="Q19" s="50"/>
      <c r="R19" s="50"/>
      <c r="S19" s="60"/>
      <c r="T19" s="61"/>
      <c r="U19" s="50"/>
      <c r="V19" s="59"/>
      <c r="W19" s="61"/>
      <c r="X19" s="50"/>
      <c r="Y19" s="50"/>
      <c r="Z19" s="50"/>
    </row>
    <row r="20" spans="1:37" s="46" customFormat="1" ht="19.2">
      <c r="A20" s="59"/>
      <c r="B20" s="59"/>
      <c r="C20" s="51"/>
      <c r="E20" s="92" t="str">
        <f>"For The "&amp;Variables!I22</f>
        <v>For The Period Ending February 2020</v>
      </c>
      <c r="F20" s="120"/>
      <c r="G20" s="120"/>
      <c r="H20" s="120"/>
      <c r="I20" s="93" t="str">
        <f>MonthlyFcstAdj!K36</f>
        <v>Actual</v>
      </c>
      <c r="J20" s="93" t="str">
        <f>MonthlyFcstAdj!L36</f>
        <v>Actual</v>
      </c>
      <c r="K20" s="93" t="str">
        <f>MonthlyFcstAdj!M36</f>
        <v>Actual</v>
      </c>
      <c r="L20" s="93" t="str">
        <f>MonthlyFcstAdj!N36</f>
        <v>Actual</v>
      </c>
      <c r="M20" s="93" t="str">
        <f>MonthlyFcstAdj!O36</f>
        <v>Actual</v>
      </c>
      <c r="N20" s="93" t="str">
        <f>MonthlyFcstAdj!P36</f>
        <v>Actual</v>
      </c>
      <c r="O20" s="93" t="str">
        <f>MonthlyFcstAdj!Q36</f>
        <v>Actual</v>
      </c>
      <c r="P20" s="93" t="str">
        <f>MonthlyFcstAdj!R36</f>
        <v>Actual</v>
      </c>
      <c r="Q20" s="93" t="str">
        <f>MonthlyFcstAdj!S36</f>
        <v>Forecast</v>
      </c>
      <c r="R20" s="93" t="str">
        <f>MonthlyFcstAdj!T36</f>
        <v>Forecast</v>
      </c>
      <c r="S20" s="93" t="str">
        <f>MonthlyFcstAdj!U36</f>
        <v>Forecast</v>
      </c>
      <c r="T20" s="93" t="str">
        <f>MonthlyFcstAdj!V36</f>
        <v>Forecast</v>
      </c>
      <c r="U20" s="93"/>
      <c r="V20" s="93"/>
      <c r="W20" s="93" t="str">
        <f>MonthlyFcstAdj!Y36</f>
        <v>FY2020</v>
      </c>
      <c r="X20" s="50"/>
      <c r="Y20" s="50"/>
      <c r="Z20" s="50"/>
    </row>
    <row r="21" spans="1:37" s="46" customFormat="1">
      <c r="A21" s="59"/>
      <c r="B21" s="59"/>
      <c r="C21" s="51"/>
      <c r="D21" s="82"/>
      <c r="E21" s="120"/>
      <c r="F21" s="120"/>
      <c r="G21" s="120"/>
      <c r="H21" s="120"/>
      <c r="I21" s="93" t="str">
        <f>MonthlyFcstAdj!K37</f>
        <v>Jul-2019</v>
      </c>
      <c r="J21" s="93" t="str">
        <f>MonthlyFcstAdj!L37</f>
        <v>Aug-2019</v>
      </c>
      <c r="K21" s="93" t="str">
        <f>MonthlyFcstAdj!M37</f>
        <v>Sep-2019</v>
      </c>
      <c r="L21" s="93" t="str">
        <f>MonthlyFcstAdj!N37</f>
        <v>Oct-2019</v>
      </c>
      <c r="M21" s="93" t="str">
        <f>MonthlyFcstAdj!O37</f>
        <v>Nov-2019</v>
      </c>
      <c r="N21" s="93" t="str">
        <f>MonthlyFcstAdj!P37</f>
        <v>Dec-2019</v>
      </c>
      <c r="O21" s="93" t="str">
        <f>MonthlyFcstAdj!Q37</f>
        <v>Jan-2020</v>
      </c>
      <c r="P21" s="93" t="str">
        <f>MonthlyFcstAdj!R37</f>
        <v>Feb-2020</v>
      </c>
      <c r="Q21" s="93" t="str">
        <f>MonthlyFcstAdj!S37</f>
        <v>Mar-2020</v>
      </c>
      <c r="R21" s="93" t="str">
        <f>MonthlyFcstAdj!T37</f>
        <v>Apr-2020</v>
      </c>
      <c r="S21" s="93" t="str">
        <f>MonthlyFcstAdj!U37</f>
        <v>May-2020</v>
      </c>
      <c r="T21" s="93" t="str">
        <f>MonthlyFcstAdj!V37</f>
        <v>Jun-2020</v>
      </c>
      <c r="U21" s="93" t="s">
        <v>211</v>
      </c>
      <c r="V21" s="93"/>
      <c r="W21" s="93" t="str">
        <f>MonthlyFcstAdj!Y37</f>
        <v>Budget</v>
      </c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</row>
    <row r="22" spans="1:37">
      <c r="A22" s="55"/>
      <c r="B22" s="55"/>
      <c r="C22" s="51"/>
      <c r="D22" s="71"/>
      <c r="E22" s="65"/>
      <c r="F22" s="66"/>
      <c r="G22" s="66"/>
      <c r="H22" s="6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</row>
    <row r="23" spans="1:37">
      <c r="A23" s="55"/>
      <c r="B23" s="55"/>
      <c r="C23" s="51"/>
      <c r="D23" s="58"/>
      <c r="E23" s="94" t="s">
        <v>217</v>
      </c>
      <c r="F23" s="94"/>
      <c r="G23" s="94"/>
      <c r="H23" s="94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</row>
    <row r="24" spans="1:37">
      <c r="A24" s="55"/>
      <c r="B24" s="55"/>
      <c r="C24" s="51"/>
      <c r="D24" s="58"/>
      <c r="E24" s="95"/>
      <c r="F24" s="95"/>
      <c r="G24" s="95"/>
      <c r="H24" s="95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37" s="76" customFormat="1">
      <c r="A25" s="72"/>
      <c r="B25" s="73" t="s">
        <v>268</v>
      </c>
      <c r="C25" s="51"/>
      <c r="D25" s="74"/>
      <c r="E25" s="95" t="s">
        <v>269</v>
      </c>
      <c r="F25" s="95"/>
      <c r="G25" s="95"/>
      <c r="H25" s="95"/>
      <c r="I25" s="96">
        <f>MonthlyFcstAdj!K44</f>
        <v>28782082.130000003</v>
      </c>
      <c r="J25" s="96">
        <f>MonthlyFcstAdj!L44</f>
        <v>29015518.609999999</v>
      </c>
      <c r="K25" s="96">
        <f>MonthlyFcstAdj!M44</f>
        <v>27836998.940000001</v>
      </c>
      <c r="L25" s="96">
        <f>MonthlyFcstAdj!N44</f>
        <v>28239399.25</v>
      </c>
      <c r="M25" s="96">
        <f>MonthlyFcstAdj!O44</f>
        <v>29176925.030000001</v>
      </c>
      <c r="N25" s="96">
        <f>MonthlyFcstAdj!P44</f>
        <v>16110946.471945114</v>
      </c>
      <c r="O25" s="96">
        <f>MonthlyFcstAdj!Q44</f>
        <v>17329015.715490863</v>
      </c>
      <c r="P25" s="96">
        <f>MonthlyFcstAdj!R44</f>
        <v>18255159.016679022</v>
      </c>
      <c r="Q25" s="96">
        <f>MonthlyFcstAdj!S44</f>
        <v>18862388.995436464</v>
      </c>
      <c r="R25" s="96">
        <f>MonthlyFcstAdj!T44</f>
        <v>19870939.269569661</v>
      </c>
      <c r="S25" s="96">
        <f>MonthlyFcstAdj!U44</f>
        <v>21535799.446939986</v>
      </c>
      <c r="T25" s="96">
        <f>MonthlyFcstAdj!V44</f>
        <v>22625099.033087537</v>
      </c>
      <c r="U25" s="96">
        <f>SUM(I25:T25)</f>
        <v>277640271.90914863</v>
      </c>
      <c r="V25" s="96"/>
      <c r="W25" s="96">
        <f>MonthlyFcstAdj!Y44</f>
        <v>272657724.52345413</v>
      </c>
    </row>
    <row r="26" spans="1:37" s="76" customFormat="1">
      <c r="A26" s="72"/>
      <c r="B26" s="73" t="s">
        <v>268</v>
      </c>
      <c r="C26" s="51"/>
      <c r="D26" s="74"/>
      <c r="E26" s="95" t="s">
        <v>270</v>
      </c>
      <c r="F26" s="95"/>
      <c r="G26" s="95"/>
      <c r="H26" s="95"/>
      <c r="I26" s="96">
        <f>MonthlyFcstAdj!K50</f>
        <v>12044957.890000001</v>
      </c>
      <c r="J26" s="96">
        <f>MonthlyFcstAdj!L50</f>
        <v>13898266.880000001</v>
      </c>
      <c r="K26" s="96">
        <f>MonthlyFcstAdj!M50</f>
        <v>12512469.390000001</v>
      </c>
      <c r="L26" s="96">
        <f>MonthlyFcstAdj!N50</f>
        <v>13052113.23</v>
      </c>
      <c r="M26" s="96">
        <f>MonthlyFcstAdj!O50</f>
        <v>13037962.399999999</v>
      </c>
      <c r="N26" s="96">
        <f>MonthlyFcstAdj!P50</f>
        <v>7065751.6395266987</v>
      </c>
      <c r="O26" s="96">
        <f>MonthlyFcstAdj!Q50</f>
        <v>7672956.5337087922</v>
      </c>
      <c r="P26" s="96">
        <f>MonthlyFcstAdj!R50</f>
        <v>8404062.6479461603</v>
      </c>
      <c r="Q26" s="96">
        <f>MonthlyFcstAdj!S50</f>
        <v>7965380.9081638241</v>
      </c>
      <c r="R26" s="96">
        <f>MonthlyFcstAdj!T50</f>
        <v>8585946.5238734316</v>
      </c>
      <c r="S26" s="96">
        <f>MonthlyFcstAdj!U50</f>
        <v>9266973.3320064377</v>
      </c>
      <c r="T26" s="96">
        <f>MonthlyFcstAdj!V50</f>
        <v>10084078.031025758</v>
      </c>
      <c r="U26" s="96">
        <f>SUM(I26:T26)</f>
        <v>123590919.40625112</v>
      </c>
      <c r="V26" s="96"/>
      <c r="W26" s="96">
        <f>MonthlyFcstAdj!Y50</f>
        <v>119514652.7214922</v>
      </c>
    </row>
    <row r="27" spans="1:37" s="76" customFormat="1" ht="16.8">
      <c r="A27" s="105" t="s">
        <v>91</v>
      </c>
      <c r="B27" s="73" t="s">
        <v>268</v>
      </c>
      <c r="C27" s="51"/>
      <c r="D27" s="74"/>
      <c r="E27" s="95" t="s">
        <v>271</v>
      </c>
      <c r="F27" s="95"/>
      <c r="G27" s="95"/>
      <c r="H27" s="95"/>
      <c r="I27" s="96">
        <f>MonthlyFcstAdj!K56</f>
        <v>18149618.300000001</v>
      </c>
      <c r="J27" s="96">
        <f>MonthlyFcstAdj!L56</f>
        <v>17524224.239999998</v>
      </c>
      <c r="K27" s="96">
        <f>MonthlyFcstAdj!M56</f>
        <v>20994558.43</v>
      </c>
      <c r="L27" s="96">
        <f>MonthlyFcstAdj!N56</f>
        <v>19002267.800000001</v>
      </c>
      <c r="M27" s="96">
        <f>MonthlyFcstAdj!O56</f>
        <v>19223078.399999999</v>
      </c>
      <c r="N27" s="96">
        <f>MonthlyFcstAdj!P56</f>
        <v>19002038.436949536</v>
      </c>
      <c r="O27" s="96">
        <f>MonthlyFcstAdj!Q56</f>
        <v>18868403.479936425</v>
      </c>
      <c r="P27" s="96">
        <f>MonthlyFcstAdj!R56</f>
        <v>18122604.520251896</v>
      </c>
      <c r="Q27" s="96">
        <f>MonthlyFcstAdj!S56</f>
        <v>18779657.150485151</v>
      </c>
      <c r="R27" s="96">
        <f>MonthlyFcstAdj!T56</f>
        <v>18668006.059059858</v>
      </c>
      <c r="S27" s="96">
        <f>MonthlyFcstAdj!U56</f>
        <v>18812176.855634719</v>
      </c>
      <c r="T27" s="96">
        <f>MonthlyFcstAdj!V56</f>
        <v>18657454.924877454</v>
      </c>
      <c r="U27" s="96">
        <f>SUM(I27:T27)</f>
        <v>225804088.59719503</v>
      </c>
      <c r="V27" s="96"/>
      <c r="W27" s="96">
        <f>MonthlyFcstAdj!Y56</f>
        <v>225163991.82464477</v>
      </c>
    </row>
    <row r="28" spans="1:37" s="76" customFormat="1" ht="16.8">
      <c r="A28" s="105" t="s">
        <v>361</v>
      </c>
      <c r="B28" s="77"/>
      <c r="C28" s="51"/>
      <c r="D28" s="74"/>
      <c r="E28" s="95"/>
      <c r="F28" s="95"/>
      <c r="G28" s="95"/>
      <c r="H28" s="9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</row>
    <row r="29" spans="1:37">
      <c r="A29" s="55"/>
      <c r="B29" s="55"/>
      <c r="C29" s="51"/>
      <c r="D29" s="58"/>
      <c r="E29" s="98" t="s">
        <v>272</v>
      </c>
      <c r="F29" s="98"/>
      <c r="G29" s="98"/>
      <c r="H29" s="98"/>
      <c r="I29" s="99">
        <f t="shared" ref="I29:U29" si="2">SUM(I25,I26,I27)</f>
        <v>58976658.320000008</v>
      </c>
      <c r="J29" s="99">
        <f t="shared" si="2"/>
        <v>60438009.730000004</v>
      </c>
      <c r="K29" s="99">
        <f t="shared" si="2"/>
        <v>61344026.759999998</v>
      </c>
      <c r="L29" s="99">
        <f t="shared" si="2"/>
        <v>60293780.280000001</v>
      </c>
      <c r="M29" s="99">
        <f t="shared" si="2"/>
        <v>61437965.829999998</v>
      </c>
      <c r="N29" s="99">
        <f t="shared" si="2"/>
        <v>42178736.548421353</v>
      </c>
      <c r="O29" s="99">
        <f t="shared" si="2"/>
        <v>43870375.72913608</v>
      </c>
      <c r="P29" s="99">
        <f t="shared" si="2"/>
        <v>44781826.184877083</v>
      </c>
      <c r="Q29" s="99">
        <f t="shared" si="2"/>
        <v>45607427.054085433</v>
      </c>
      <c r="R29" s="99">
        <f t="shared" si="2"/>
        <v>47124891.85250295</v>
      </c>
      <c r="S29" s="99">
        <f t="shared" si="2"/>
        <v>49614949.634581141</v>
      </c>
      <c r="T29" s="99">
        <f t="shared" si="2"/>
        <v>51366631.988990754</v>
      </c>
      <c r="U29" s="99">
        <f t="shared" si="2"/>
        <v>627035279.9125948</v>
      </c>
      <c r="V29" s="99"/>
      <c r="W29" s="99">
        <f t="shared" ref="W29" si="3">SUM(W25,W26,W27)</f>
        <v>617336369.06959116</v>
      </c>
    </row>
    <row r="30" spans="1:37">
      <c r="A30" s="55"/>
      <c r="B30" s="55"/>
      <c r="C30" s="51"/>
      <c r="D30" s="58"/>
      <c r="E30" s="68"/>
      <c r="F30" s="67"/>
      <c r="G30" s="67"/>
      <c r="H30" s="6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</row>
    <row r="31" spans="1:37">
      <c r="A31" s="55"/>
      <c r="B31" s="55"/>
      <c r="C31" s="51"/>
      <c r="D31" s="58"/>
      <c r="E31" s="94" t="s">
        <v>222</v>
      </c>
      <c r="F31" s="94"/>
      <c r="G31" s="94"/>
      <c r="H31" s="94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</row>
    <row r="32" spans="1:37">
      <c r="A32" s="55"/>
      <c r="B32" s="55"/>
      <c r="C32" s="51"/>
      <c r="D32" s="58"/>
      <c r="E32" s="95"/>
      <c r="F32" s="95"/>
      <c r="G32" s="95"/>
      <c r="H32" s="95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</row>
    <row r="33" spans="1:23" s="76" customFormat="1">
      <c r="A33" s="72"/>
      <c r="B33" s="77"/>
      <c r="C33" s="51"/>
      <c r="D33" s="74"/>
      <c r="E33" s="95" t="s">
        <v>273</v>
      </c>
      <c r="F33" s="95"/>
      <c r="G33" s="95"/>
      <c r="H33" s="95"/>
      <c r="I33" s="96">
        <f>MonthlyFcstAdj!K68</f>
        <v>31441494.959589191</v>
      </c>
      <c r="J33" s="96">
        <f>MonthlyFcstAdj!L68</f>
        <v>31967196.96642423</v>
      </c>
      <c r="K33" s="96">
        <f>MonthlyFcstAdj!M68</f>
        <v>32474486.456958719</v>
      </c>
      <c r="L33" s="96">
        <f>MonthlyFcstAdj!N68</f>
        <v>31843269.509818047</v>
      </c>
      <c r="M33" s="96">
        <f>MonthlyFcstAdj!O68</f>
        <v>30825513.712056991</v>
      </c>
      <c r="N33" s="96">
        <f>MonthlyFcstAdj!P68</f>
        <v>17486767.337537594</v>
      </c>
      <c r="O33" s="96">
        <f>MonthlyFcstAdj!Q68</f>
        <v>16916474.179099966</v>
      </c>
      <c r="P33" s="96">
        <f>MonthlyFcstAdj!R68</f>
        <v>18435642.182647608</v>
      </c>
      <c r="Q33" s="96">
        <f>MonthlyFcstAdj!S68</f>
        <v>19112002.093696717</v>
      </c>
      <c r="R33" s="96">
        <f>MonthlyFcstAdj!T68</f>
        <v>19590673.744444087</v>
      </c>
      <c r="S33" s="96">
        <f>MonthlyFcstAdj!U68</f>
        <v>22269505.19353231</v>
      </c>
      <c r="T33" s="96">
        <f>MonthlyFcstAdj!V68</f>
        <v>23594205.77976346</v>
      </c>
      <c r="U33" s="96">
        <f>SUM(I33:T33)</f>
        <v>295957232.11556894</v>
      </c>
      <c r="V33" s="96"/>
      <c r="W33" s="96">
        <f>MonthlyFcstAdj!Y68</f>
        <v>265926568.62620932</v>
      </c>
    </row>
    <row r="34" spans="1:23" s="76" customFormat="1">
      <c r="A34" s="72"/>
      <c r="B34" s="77"/>
      <c r="C34" s="51"/>
      <c r="D34" s="74"/>
      <c r="E34" s="95" t="s">
        <v>274</v>
      </c>
      <c r="F34" s="95"/>
      <c r="G34" s="95"/>
      <c r="H34" s="95"/>
      <c r="I34" s="96">
        <f>MonthlyFcstAdj!K76</f>
        <v>0</v>
      </c>
      <c r="J34" s="96">
        <f>MonthlyFcstAdj!L76</f>
        <v>0</v>
      </c>
      <c r="K34" s="96">
        <f>MonthlyFcstAdj!M76</f>
        <v>0</v>
      </c>
      <c r="L34" s="96">
        <f>MonthlyFcstAdj!N76</f>
        <v>0</v>
      </c>
      <c r="M34" s="96">
        <f>MonthlyFcstAdj!O76</f>
        <v>0</v>
      </c>
      <c r="N34" s="96">
        <f>MonthlyFcstAdj!P76</f>
        <v>0</v>
      </c>
      <c r="O34" s="96">
        <f>MonthlyFcstAdj!Q76</f>
        <v>0</v>
      </c>
      <c r="P34" s="96">
        <f>MonthlyFcstAdj!R76</f>
        <v>0</v>
      </c>
      <c r="Q34" s="96">
        <f>MonthlyFcstAdj!S76</f>
        <v>0</v>
      </c>
      <c r="R34" s="96">
        <f>MonthlyFcstAdj!T76</f>
        <v>0</v>
      </c>
      <c r="S34" s="96">
        <f>MonthlyFcstAdj!U76</f>
        <v>0</v>
      </c>
      <c r="T34" s="96">
        <f>MonthlyFcstAdj!V76</f>
        <v>0</v>
      </c>
      <c r="U34" s="96">
        <f>SUM(I34:T34)</f>
        <v>0</v>
      </c>
      <c r="V34" s="96"/>
      <c r="W34" s="96">
        <f>MonthlyFcstAdj!Y76</f>
        <v>0</v>
      </c>
    </row>
    <row r="35" spans="1:23" s="76" customFormat="1">
      <c r="A35" s="72"/>
      <c r="B35" s="77"/>
      <c r="C35" s="51"/>
      <c r="D35" s="74"/>
      <c r="E35" s="95" t="s">
        <v>275</v>
      </c>
      <c r="F35" s="95"/>
      <c r="G35" s="95"/>
      <c r="H35" s="95"/>
      <c r="I35" s="96">
        <f>MonthlyFcstAdj!K84</f>
        <v>740391.87</v>
      </c>
      <c r="J35" s="96">
        <f>MonthlyFcstAdj!L84</f>
        <v>1552860.6400000001</v>
      </c>
      <c r="K35" s="96">
        <f>MonthlyFcstAdj!M84</f>
        <v>340871.27</v>
      </c>
      <c r="L35" s="96">
        <f>MonthlyFcstAdj!N84</f>
        <v>448112.62999999995</v>
      </c>
      <c r="M35" s="96">
        <f>MonthlyFcstAdj!O84</f>
        <v>400315.77</v>
      </c>
      <c r="N35" s="96">
        <f>MonthlyFcstAdj!P84</f>
        <v>694542.03026110178</v>
      </c>
      <c r="O35" s="96">
        <f>MonthlyFcstAdj!Q84</f>
        <v>679861.26129833574</v>
      </c>
      <c r="P35" s="96">
        <f>MonthlyFcstAdj!R84</f>
        <v>529505.45414868474</v>
      </c>
      <c r="Q35" s="96">
        <f>MonthlyFcstAdj!S84</f>
        <v>558670.50535152107</v>
      </c>
      <c r="R35" s="96">
        <f>MonthlyFcstAdj!T84</f>
        <v>570963.30493322329</v>
      </c>
      <c r="S35" s="96">
        <f>MonthlyFcstAdj!U84</f>
        <v>608253.76271568413</v>
      </c>
      <c r="T35" s="96">
        <f>MonthlyFcstAdj!V84</f>
        <v>590497.4661471392</v>
      </c>
      <c r="U35" s="96">
        <f>SUM(I35:T35)</f>
        <v>7714845.9648556896</v>
      </c>
      <c r="V35" s="96"/>
      <c r="W35" s="96">
        <f>MonthlyFcstAdj!Y84</f>
        <v>9300280.6969911698</v>
      </c>
    </row>
    <row r="36" spans="1:23" s="76" customFormat="1">
      <c r="A36" s="72"/>
      <c r="B36" s="77"/>
      <c r="C36" s="51"/>
      <c r="D36" s="74"/>
      <c r="E36" s="95" t="s">
        <v>276</v>
      </c>
      <c r="F36" s="95"/>
      <c r="G36" s="95"/>
      <c r="H36" s="95"/>
      <c r="I36" s="96">
        <f>MonthlyFcstAdj!K92</f>
        <v>930228.80999999994</v>
      </c>
      <c r="J36" s="96">
        <f>MonthlyFcstAdj!L92</f>
        <v>-83309.119999999995</v>
      </c>
      <c r="K36" s="96">
        <f>MonthlyFcstAdj!M92</f>
        <v>907730.21</v>
      </c>
      <c r="L36" s="96">
        <f>MonthlyFcstAdj!N92</f>
        <v>839380.85000000009</v>
      </c>
      <c r="M36" s="96">
        <f>MonthlyFcstAdj!O92</f>
        <v>2025118.09</v>
      </c>
      <c r="N36" s="96">
        <f>MonthlyFcstAdj!P92</f>
        <v>908761.72129698098</v>
      </c>
      <c r="O36" s="96">
        <f>MonthlyFcstAdj!Q92</f>
        <v>937424.07960575004</v>
      </c>
      <c r="P36" s="96">
        <f>MonthlyFcstAdj!R92</f>
        <v>930466.88805573003</v>
      </c>
      <c r="Q36" s="96">
        <f>MonthlyFcstAdj!S92</f>
        <v>935677.13705828658</v>
      </c>
      <c r="R36" s="96">
        <f>MonthlyFcstAdj!T92</f>
        <v>898719.42626301141</v>
      </c>
      <c r="S36" s="96">
        <f>MonthlyFcstAdj!U92</f>
        <v>910463.82554348954</v>
      </c>
      <c r="T36" s="96">
        <f>MonthlyFcstAdj!V92</f>
        <v>920599.97234080359</v>
      </c>
      <c r="U36" s="96">
        <f>SUM(I36:T36)</f>
        <v>11061261.890164051</v>
      </c>
      <c r="V36" s="96"/>
      <c r="W36" s="96">
        <f>MonthlyFcstAdj!Y92</f>
        <v>12643375.128395714</v>
      </c>
    </row>
    <row r="37" spans="1:23" s="76" customFormat="1">
      <c r="A37" s="72"/>
      <c r="B37" s="77"/>
      <c r="C37" s="51"/>
      <c r="D37" s="74"/>
      <c r="E37" s="95"/>
      <c r="F37" s="95"/>
      <c r="G37" s="95"/>
      <c r="H37" s="95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>
      <c r="A38" s="55"/>
      <c r="B38" s="55"/>
      <c r="C38" s="51"/>
      <c r="D38" s="58"/>
      <c r="E38" s="98" t="s">
        <v>227</v>
      </c>
      <c r="F38" s="98"/>
      <c r="G38" s="98"/>
      <c r="H38" s="98"/>
      <c r="I38" s="99">
        <f>SUM(I33:I36)</f>
        <v>33112115.63958919</v>
      </c>
      <c r="J38" s="99">
        <f t="shared" ref="J38:T38" si="4">SUM(J33:J36)</f>
        <v>33436748.48642423</v>
      </c>
      <c r="K38" s="99">
        <f t="shared" si="4"/>
        <v>33723087.936958715</v>
      </c>
      <c r="L38" s="99">
        <f t="shared" si="4"/>
        <v>33130762.989818048</v>
      </c>
      <c r="M38" s="99">
        <f t="shared" si="4"/>
        <v>33250947.57205699</v>
      </c>
      <c r="N38" s="99">
        <f t="shared" si="4"/>
        <v>19090071.089095678</v>
      </c>
      <c r="O38" s="99">
        <f t="shared" si="4"/>
        <v>18533759.520004053</v>
      </c>
      <c r="P38" s="99">
        <f t="shared" si="4"/>
        <v>19895614.524852023</v>
      </c>
      <c r="Q38" s="99">
        <f t="shared" si="4"/>
        <v>20606349.736106526</v>
      </c>
      <c r="R38" s="99">
        <f t="shared" si="4"/>
        <v>21060356.475640323</v>
      </c>
      <c r="S38" s="99">
        <f t="shared" si="4"/>
        <v>23788222.781791482</v>
      </c>
      <c r="T38" s="99">
        <f t="shared" si="4"/>
        <v>25105303.218251403</v>
      </c>
      <c r="U38" s="99">
        <f>SUM(U33:U36)</f>
        <v>314733339.97058868</v>
      </c>
      <c r="V38" s="99"/>
      <c r="W38" s="99">
        <f t="shared" ref="W38" si="5">SUM(W33:W36)</f>
        <v>287870224.4515962</v>
      </c>
    </row>
    <row r="39" spans="1:23">
      <c r="A39" s="55"/>
      <c r="B39" s="55"/>
      <c r="C39" s="51"/>
      <c r="D39" s="58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</row>
    <row r="40" spans="1:23">
      <c r="A40" s="55"/>
      <c r="B40" s="55"/>
      <c r="C40" s="51"/>
      <c r="D40" s="58"/>
      <c r="E40" s="98" t="s">
        <v>228</v>
      </c>
      <c r="F40" s="98"/>
      <c r="G40" s="98"/>
      <c r="H40" s="98"/>
      <c r="I40" s="99">
        <f t="shared" ref="I40:U40" si="6">I29-I38</f>
        <v>25864542.680410817</v>
      </c>
      <c r="J40" s="99">
        <f t="shared" ref="J40:T40" si="7">J29-J38</f>
        <v>27001261.243575774</v>
      </c>
      <c r="K40" s="99">
        <f t="shared" si="7"/>
        <v>27620938.823041283</v>
      </c>
      <c r="L40" s="99">
        <f t="shared" si="7"/>
        <v>27163017.290181953</v>
      </c>
      <c r="M40" s="99">
        <f t="shared" si="7"/>
        <v>28187018.257943008</v>
      </c>
      <c r="N40" s="99">
        <f t="shared" si="7"/>
        <v>23088665.459325675</v>
      </c>
      <c r="O40" s="99">
        <f t="shared" si="7"/>
        <v>25336616.209132027</v>
      </c>
      <c r="P40" s="99">
        <f t="shared" si="7"/>
        <v>24886211.66002506</v>
      </c>
      <c r="Q40" s="99">
        <f t="shared" si="7"/>
        <v>25001077.317978907</v>
      </c>
      <c r="R40" s="99">
        <f t="shared" si="7"/>
        <v>26064535.376862627</v>
      </c>
      <c r="S40" s="99">
        <f t="shared" si="7"/>
        <v>25826726.852789659</v>
      </c>
      <c r="T40" s="99">
        <f t="shared" si="7"/>
        <v>26261328.77073935</v>
      </c>
      <c r="U40" s="99">
        <f t="shared" si="6"/>
        <v>312301939.94200611</v>
      </c>
      <c r="V40" s="99"/>
      <c r="W40" s="99">
        <f t="shared" ref="W40" si="8">W29-W38</f>
        <v>329466144.61799496</v>
      </c>
    </row>
    <row r="41" spans="1:23">
      <c r="A41" s="55"/>
      <c r="B41" s="55"/>
      <c r="C41" s="51"/>
      <c r="D41" s="58"/>
      <c r="E41" s="95"/>
      <c r="F41" s="67"/>
      <c r="G41" s="71"/>
      <c r="H41" s="6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s="76" customFormat="1">
      <c r="A42" s="72"/>
      <c r="B42" s="77"/>
      <c r="C42" s="51"/>
      <c r="D42" s="74"/>
      <c r="E42" s="95" t="s">
        <v>277</v>
      </c>
      <c r="F42" s="95"/>
      <c r="G42" s="95"/>
      <c r="H42" s="95"/>
      <c r="I42" s="96">
        <f>MonthlyFcstAdj!K104</f>
        <v>6250969.7000000002</v>
      </c>
      <c r="J42" s="96">
        <f>MonthlyFcstAdj!L104</f>
        <v>6272336.8799999999</v>
      </c>
      <c r="K42" s="96">
        <f>MonthlyFcstAdj!M104</f>
        <v>7159330.4299999997</v>
      </c>
      <c r="L42" s="96">
        <f>MonthlyFcstAdj!N104</f>
        <v>6700655.1999999993</v>
      </c>
      <c r="M42" s="96">
        <f>MonthlyFcstAdj!O104</f>
        <v>6805026.1299999999</v>
      </c>
      <c r="N42" s="96">
        <f>MonthlyFcstAdj!P104</f>
        <v>6728956.1096078418</v>
      </c>
      <c r="O42" s="96">
        <f>MonthlyFcstAdj!Q104</f>
        <v>6784020.2496078415</v>
      </c>
      <c r="P42" s="96">
        <f>MonthlyFcstAdj!R104</f>
        <v>6264281.3215686269</v>
      </c>
      <c r="Q42" s="96">
        <f>MonthlyFcstAdj!S104</f>
        <v>6723781.5212418288</v>
      </c>
      <c r="R42" s="96">
        <f>MonthlyFcstAdj!T104</f>
        <v>6506885.343137254</v>
      </c>
      <c r="S42" s="96">
        <f>MonthlyFcstAdj!U104</f>
        <v>6723781.5212418288</v>
      </c>
      <c r="T42" s="96">
        <f>MonthlyFcstAdj!V104</f>
        <v>6506885.343137254</v>
      </c>
      <c r="U42" s="96">
        <f>SUM(I42:T42)</f>
        <v>79426909.74954246</v>
      </c>
      <c r="V42" s="96"/>
      <c r="W42" s="96">
        <f>MonthlyFcstAdj!Y104</f>
        <v>79883055.713898554</v>
      </c>
    </row>
    <row r="43" spans="1:23" s="76" customFormat="1">
      <c r="A43" s="72"/>
      <c r="B43" s="77"/>
      <c r="C43" s="51"/>
      <c r="D43" s="74"/>
      <c r="E43" s="95"/>
      <c r="F43" s="67"/>
      <c r="G43" s="71"/>
      <c r="H43" s="6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</row>
    <row r="44" spans="1:23">
      <c r="A44" s="55"/>
      <c r="B44" s="55"/>
      <c r="C44" s="51"/>
      <c r="D44" s="58"/>
      <c r="E44" s="98" t="s">
        <v>230</v>
      </c>
      <c r="F44" s="98"/>
      <c r="G44" s="98"/>
      <c r="H44" s="98"/>
      <c r="I44" s="99">
        <f t="shared" ref="I44:U44" si="9">I40+I42</f>
        <v>32115512.380410817</v>
      </c>
      <c r="J44" s="99">
        <f t="shared" ref="J44:T44" si="10">J40+J42</f>
        <v>33273598.123575773</v>
      </c>
      <c r="K44" s="99">
        <f t="shared" si="10"/>
        <v>34780269.253041282</v>
      </c>
      <c r="L44" s="99">
        <f t="shared" si="10"/>
        <v>33863672.490181953</v>
      </c>
      <c r="M44" s="99">
        <f t="shared" si="10"/>
        <v>34992044.387943007</v>
      </c>
      <c r="N44" s="99">
        <f t="shared" si="10"/>
        <v>29817621.568933517</v>
      </c>
      <c r="O44" s="99">
        <f t="shared" si="10"/>
        <v>32120636.458739869</v>
      </c>
      <c r="P44" s="99">
        <f t="shared" si="10"/>
        <v>31150492.981593687</v>
      </c>
      <c r="Q44" s="99">
        <f t="shared" si="10"/>
        <v>31724858.839220736</v>
      </c>
      <c r="R44" s="99">
        <f t="shared" si="10"/>
        <v>32571420.71999988</v>
      </c>
      <c r="S44" s="99">
        <f t="shared" si="10"/>
        <v>32550508.374031488</v>
      </c>
      <c r="T44" s="99">
        <f t="shared" si="10"/>
        <v>32768214.113876604</v>
      </c>
      <c r="U44" s="99">
        <f t="shared" si="9"/>
        <v>391728849.69154859</v>
      </c>
      <c r="V44" s="99"/>
      <c r="W44" s="99">
        <f t="shared" ref="W44" si="11">W40+W42</f>
        <v>409349200.3318935</v>
      </c>
    </row>
    <row r="45" spans="1:23">
      <c r="A45" s="55"/>
      <c r="B45" s="55"/>
      <c r="C45" s="51"/>
      <c r="D45" s="58"/>
      <c r="E45" s="68"/>
      <c r="F45" s="67"/>
      <c r="G45" s="71"/>
      <c r="H45" s="6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</row>
    <row r="46" spans="1:23">
      <c r="A46" s="55"/>
      <c r="B46" s="55"/>
      <c r="C46" s="51"/>
      <c r="D46" s="58"/>
      <c r="E46" s="94" t="s">
        <v>231</v>
      </c>
      <c r="F46" s="94"/>
      <c r="G46" s="94"/>
      <c r="H46" s="94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</row>
    <row r="47" spans="1:23">
      <c r="A47" s="55"/>
      <c r="B47" s="55"/>
      <c r="C47" s="51"/>
      <c r="D47" s="58"/>
      <c r="E47" s="95"/>
      <c r="F47" s="95"/>
      <c r="G47" s="95"/>
      <c r="H47" s="95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</row>
    <row r="48" spans="1:23">
      <c r="A48" s="72"/>
      <c r="B48" s="73" t="s">
        <v>278</v>
      </c>
      <c r="C48" s="51"/>
      <c r="D48" s="74"/>
      <c r="E48" s="95" t="s">
        <v>279</v>
      </c>
      <c r="F48" s="95"/>
      <c r="G48" s="95"/>
      <c r="H48" s="95"/>
      <c r="I48" s="96">
        <f>MonthlyFcstAdj!K124</f>
        <v>13210984.220000001</v>
      </c>
      <c r="J48" s="96">
        <f>MonthlyFcstAdj!L124</f>
        <v>12615154.480000002</v>
      </c>
      <c r="K48" s="96">
        <f>MonthlyFcstAdj!M124</f>
        <v>12942350.33</v>
      </c>
      <c r="L48" s="96">
        <f>MonthlyFcstAdj!N124</f>
        <v>13577286.23</v>
      </c>
      <c r="M48" s="96">
        <f>MonthlyFcstAdj!O124</f>
        <v>12718589.509999998</v>
      </c>
      <c r="N48" s="96">
        <f>MonthlyFcstAdj!P124</f>
        <v>10320039.806524135</v>
      </c>
      <c r="O48" s="96">
        <f>MonthlyFcstAdj!Q124</f>
        <v>10589881.847995797</v>
      </c>
      <c r="P48" s="96">
        <f>MonthlyFcstAdj!R124</f>
        <v>10324123.461767185</v>
      </c>
      <c r="Q48" s="96">
        <f>MonthlyFcstAdj!S124</f>
        <v>10867974.892152574</v>
      </c>
      <c r="R48" s="96">
        <f>MonthlyFcstAdj!T124</f>
        <v>10902033.860718571</v>
      </c>
      <c r="S48" s="96">
        <f>MonthlyFcstAdj!U124</f>
        <v>11361471.294804018</v>
      </c>
      <c r="T48" s="96">
        <f>MonthlyFcstAdj!V124</f>
        <v>11399786.918741908</v>
      </c>
      <c r="U48" s="96">
        <f t="shared" ref="U48:U65" si="12">SUM(I48:T48)</f>
        <v>140829676.8527042</v>
      </c>
      <c r="V48" s="96"/>
      <c r="W48" s="96">
        <f>MonthlyFcstAdj!Y124</f>
        <v>140102505.96073645</v>
      </c>
    </row>
    <row r="49" spans="1:23" s="55" customFormat="1">
      <c r="A49" s="76"/>
      <c r="B49" s="73" t="s">
        <v>278</v>
      </c>
      <c r="C49" s="51"/>
      <c r="D49" s="74"/>
      <c r="E49" s="95" t="s">
        <v>523</v>
      </c>
      <c r="F49" s="95"/>
      <c r="G49" s="95"/>
      <c r="H49" s="95"/>
      <c r="I49" s="96">
        <f>MonthlyFcstAdj!K135</f>
        <v>0</v>
      </c>
      <c r="J49" s="96">
        <f>MonthlyFcstAdj!L135</f>
        <v>0</v>
      </c>
      <c r="K49" s="96">
        <f>MonthlyFcstAdj!M135</f>
        <v>0</v>
      </c>
      <c r="L49" s="96">
        <f>MonthlyFcstAdj!N135</f>
        <v>0</v>
      </c>
      <c r="M49" s="96">
        <f>MonthlyFcstAdj!O135</f>
        <v>0</v>
      </c>
      <c r="N49" s="96">
        <f>MonthlyFcstAdj!P135</f>
        <v>0</v>
      </c>
      <c r="O49" s="96">
        <f>MonthlyFcstAdj!Q135</f>
        <v>0</v>
      </c>
      <c r="P49" s="96">
        <f>MonthlyFcstAdj!R135</f>
        <v>0</v>
      </c>
      <c r="Q49" s="96">
        <f>MonthlyFcstAdj!S135</f>
        <v>0</v>
      </c>
      <c r="R49" s="96">
        <f>MonthlyFcstAdj!T135</f>
        <v>0</v>
      </c>
      <c r="S49" s="96">
        <f>MonthlyFcstAdj!U135</f>
        <v>0</v>
      </c>
      <c r="T49" s="96">
        <f>MonthlyFcstAdj!V135</f>
        <v>0</v>
      </c>
      <c r="U49" s="96">
        <f t="shared" si="12"/>
        <v>0</v>
      </c>
      <c r="V49" s="96"/>
      <c r="W49" s="96">
        <f>MonthlyFcstAdj!Y135</f>
        <v>0</v>
      </c>
    </row>
    <row r="50" spans="1:23" s="55" customFormat="1">
      <c r="A50" s="76"/>
      <c r="B50" s="73" t="s">
        <v>278</v>
      </c>
      <c r="C50" s="51"/>
      <c r="D50" s="74"/>
      <c r="E50" s="95" t="s">
        <v>524</v>
      </c>
      <c r="F50" s="95"/>
      <c r="G50" s="95"/>
      <c r="H50" s="95"/>
      <c r="I50" s="96">
        <f>MonthlyFcstAdj!K141</f>
        <v>0</v>
      </c>
      <c r="J50" s="96">
        <f>MonthlyFcstAdj!L141</f>
        <v>0</v>
      </c>
      <c r="K50" s="96">
        <f>MonthlyFcstAdj!M141</f>
        <v>0</v>
      </c>
      <c r="L50" s="96">
        <f>MonthlyFcstAdj!N141</f>
        <v>0</v>
      </c>
      <c r="M50" s="96">
        <f>MonthlyFcstAdj!O141</f>
        <v>0</v>
      </c>
      <c r="N50" s="96">
        <f>MonthlyFcstAdj!P141</f>
        <v>0</v>
      </c>
      <c r="O50" s="96">
        <f>MonthlyFcstAdj!Q141</f>
        <v>0</v>
      </c>
      <c r="P50" s="96">
        <f>MonthlyFcstAdj!R141</f>
        <v>0</v>
      </c>
      <c r="Q50" s="96">
        <f>MonthlyFcstAdj!S141</f>
        <v>0</v>
      </c>
      <c r="R50" s="96">
        <f>MonthlyFcstAdj!T141</f>
        <v>0</v>
      </c>
      <c r="S50" s="96">
        <f>MonthlyFcstAdj!U141</f>
        <v>0</v>
      </c>
      <c r="T50" s="96">
        <f>MonthlyFcstAdj!V141</f>
        <v>0</v>
      </c>
      <c r="U50" s="96">
        <f t="shared" si="12"/>
        <v>0</v>
      </c>
      <c r="V50" s="96"/>
      <c r="W50" s="96">
        <f>MonthlyFcstAdj!Y141</f>
        <v>0</v>
      </c>
    </row>
    <row r="51" spans="1:23">
      <c r="A51" s="72"/>
      <c r="B51" s="73" t="s">
        <v>278</v>
      </c>
      <c r="C51" s="51"/>
      <c r="D51" s="74"/>
      <c r="E51" s="95" t="s">
        <v>280</v>
      </c>
      <c r="F51" s="95"/>
      <c r="G51" s="95"/>
      <c r="H51" s="95"/>
      <c r="I51" s="96">
        <f>MonthlyFcstAdj!K152</f>
        <v>2627164.2600000021</v>
      </c>
      <c r="J51" s="96">
        <f>MonthlyFcstAdj!L152</f>
        <v>3205326.1299999985</v>
      </c>
      <c r="K51" s="96">
        <f>MonthlyFcstAdj!M152</f>
        <v>2964594.2000000007</v>
      </c>
      <c r="L51" s="96">
        <f>MonthlyFcstAdj!N152</f>
        <v>2859763.5700000008</v>
      </c>
      <c r="M51" s="96">
        <f>MonthlyFcstAdj!O152</f>
        <v>2716353.6299999994</v>
      </c>
      <c r="N51" s="96">
        <f>MonthlyFcstAdj!P152</f>
        <v>2186642.8920970825</v>
      </c>
      <c r="O51" s="96">
        <f>MonthlyFcstAdj!Q152</f>
        <v>2242146.7761587007</v>
      </c>
      <c r="P51" s="96">
        <f>MonthlyFcstAdj!R152</f>
        <v>2214404.0068185767</v>
      </c>
      <c r="Q51" s="96">
        <f>MonthlyFcstAdj!S152</f>
        <v>2246568.9367024014</v>
      </c>
      <c r="R51" s="96">
        <f>MonthlyFcstAdj!T152</f>
        <v>2242535.5769570307</v>
      </c>
      <c r="S51" s="96">
        <f>MonthlyFcstAdj!U152</f>
        <v>2306695.5830202308</v>
      </c>
      <c r="T51" s="96">
        <f>MonthlyFcstAdj!V152</f>
        <v>2369802.1342031644</v>
      </c>
      <c r="U51" s="96">
        <f t="shared" si="12"/>
        <v>30181997.695957191</v>
      </c>
      <c r="V51" s="96"/>
      <c r="W51" s="96">
        <f>MonthlyFcstAdj!Y152</f>
        <v>29992265.825821858</v>
      </c>
    </row>
    <row r="52" spans="1:23">
      <c r="A52" s="72"/>
      <c r="B52" s="73" t="s">
        <v>278</v>
      </c>
      <c r="C52" s="51"/>
      <c r="D52" s="74"/>
      <c r="E52" s="95" t="s">
        <v>281</v>
      </c>
      <c r="F52" s="95"/>
      <c r="G52" s="95"/>
      <c r="H52" s="95"/>
      <c r="I52" s="96">
        <f>MonthlyFcstAdj!K159</f>
        <v>174507.13</v>
      </c>
      <c r="J52" s="96">
        <f>MonthlyFcstAdj!L159</f>
        <v>217287.6</v>
      </c>
      <c r="K52" s="96">
        <f>MonthlyFcstAdj!M159</f>
        <v>197288.03</v>
      </c>
      <c r="L52" s="96">
        <f>MonthlyFcstAdj!N159</f>
        <v>233737.77</v>
      </c>
      <c r="M52" s="96">
        <f>MonthlyFcstAdj!O159</f>
        <v>199124.33</v>
      </c>
      <c r="N52" s="96">
        <f>MonthlyFcstAdj!P159</f>
        <v>83728.040548468634</v>
      </c>
      <c r="O52" s="96">
        <f>MonthlyFcstAdj!Q159</f>
        <v>85617.869271217409</v>
      </c>
      <c r="P52" s="96">
        <f>MonthlyFcstAdj!R159</f>
        <v>87081.971018435186</v>
      </c>
      <c r="Q52" s="96">
        <f>MonthlyFcstAdj!S159</f>
        <v>87951.475844750836</v>
      </c>
      <c r="R52" s="96">
        <f>MonthlyFcstAdj!T159</f>
        <v>91252.446704469374</v>
      </c>
      <c r="S52" s="96">
        <f>MonthlyFcstAdj!U159</f>
        <v>90760.349921591755</v>
      </c>
      <c r="T52" s="96">
        <f>MonthlyFcstAdj!V159</f>
        <v>92860.111125401963</v>
      </c>
      <c r="U52" s="96">
        <f t="shared" si="12"/>
        <v>1641197.1244343352</v>
      </c>
      <c r="V52" s="96"/>
      <c r="W52" s="96">
        <f>MonthlyFcstAdj!Y159</f>
        <v>1024449.2280396493</v>
      </c>
    </row>
    <row r="53" spans="1:23">
      <c r="A53" s="72"/>
      <c r="B53" s="73" t="s">
        <v>278</v>
      </c>
      <c r="C53" s="51"/>
      <c r="D53" s="74"/>
      <c r="E53" s="95" t="s">
        <v>282</v>
      </c>
      <c r="F53" s="95"/>
      <c r="G53" s="95"/>
      <c r="H53" s="95"/>
      <c r="I53" s="96">
        <f>MonthlyFcstAdj!K165</f>
        <v>2019974.53</v>
      </c>
      <c r="J53" s="96">
        <f>MonthlyFcstAdj!L165</f>
        <v>2136170.8199999998</v>
      </c>
      <c r="K53" s="96">
        <f>MonthlyFcstAdj!M165</f>
        <v>2177808.88</v>
      </c>
      <c r="L53" s="96">
        <f>MonthlyFcstAdj!N165</f>
        <v>2128963.92</v>
      </c>
      <c r="M53" s="96">
        <f>MonthlyFcstAdj!O165</f>
        <v>2247014.77</v>
      </c>
      <c r="N53" s="96">
        <f>MonthlyFcstAdj!P165</f>
        <v>2112098.8818665617</v>
      </c>
      <c r="O53" s="96">
        <f>MonthlyFcstAdj!Q165</f>
        <v>2550641.7429247443</v>
      </c>
      <c r="P53" s="96">
        <f>MonthlyFcstAdj!R165</f>
        <v>2414638.4908246398</v>
      </c>
      <c r="Q53" s="96">
        <f>MonthlyFcstAdj!S165</f>
        <v>2465125.0040625143</v>
      </c>
      <c r="R53" s="96">
        <f>MonthlyFcstAdj!T165</f>
        <v>2457438.8022390055</v>
      </c>
      <c r="S53" s="96">
        <f>MonthlyFcstAdj!U165</f>
        <v>2511397.0108011798</v>
      </c>
      <c r="T53" s="96">
        <f>MonthlyFcstAdj!V165</f>
        <v>6186933.3565110192</v>
      </c>
      <c r="U53" s="96">
        <f t="shared" si="12"/>
        <v>31408206.209229663</v>
      </c>
      <c r="V53" s="96"/>
      <c r="W53" s="96">
        <f>MonthlyFcstAdj!Y165</f>
        <v>38043766.430562384</v>
      </c>
    </row>
    <row r="54" spans="1:23">
      <c r="A54" s="72"/>
      <c r="B54" s="73" t="s">
        <v>278</v>
      </c>
      <c r="C54" s="51"/>
      <c r="D54" s="74"/>
      <c r="E54" s="95" t="s">
        <v>283</v>
      </c>
      <c r="F54" s="95"/>
      <c r="G54" s="95"/>
      <c r="H54" s="95"/>
      <c r="I54" s="96">
        <f>MonthlyFcstAdj!K170</f>
        <v>845485.81</v>
      </c>
      <c r="J54" s="96">
        <f>MonthlyFcstAdj!L170</f>
        <v>1149195.6499999999</v>
      </c>
      <c r="K54" s="96">
        <f>MonthlyFcstAdj!M170</f>
        <v>1381431.48</v>
      </c>
      <c r="L54" s="96">
        <f>MonthlyFcstAdj!N170</f>
        <v>870140.03999999992</v>
      </c>
      <c r="M54" s="96">
        <f>MonthlyFcstAdj!O170</f>
        <v>1188000.6200000001</v>
      </c>
      <c r="N54" s="96">
        <f>MonthlyFcstAdj!P170</f>
        <v>1191512.0519785814</v>
      </c>
      <c r="O54" s="96">
        <f>MonthlyFcstAdj!Q170</f>
        <v>1094753.0476616183</v>
      </c>
      <c r="P54" s="96">
        <f>MonthlyFcstAdj!R170</f>
        <v>1039513.8505769499</v>
      </c>
      <c r="Q54" s="96">
        <f>MonthlyFcstAdj!S170</f>
        <v>946704.94452560565</v>
      </c>
      <c r="R54" s="96">
        <f>MonthlyFcstAdj!T170</f>
        <v>923561.76814083406</v>
      </c>
      <c r="S54" s="96">
        <f>MonthlyFcstAdj!U170</f>
        <v>1039027.9193325442</v>
      </c>
      <c r="T54" s="96">
        <f>MonthlyFcstAdj!V170</f>
        <v>1616808.6890944645</v>
      </c>
      <c r="U54" s="96">
        <f t="shared" si="12"/>
        <v>13286135.871310597</v>
      </c>
      <c r="V54" s="96"/>
      <c r="W54" s="96">
        <f>MonthlyFcstAdj!Y170</f>
        <v>13391459.851388259</v>
      </c>
    </row>
    <row r="55" spans="1:23">
      <c r="A55" s="72"/>
      <c r="B55" s="73" t="s">
        <v>278</v>
      </c>
      <c r="C55" s="51"/>
      <c r="D55" s="74"/>
      <c r="E55" s="95" t="s">
        <v>284</v>
      </c>
      <c r="F55" s="95"/>
      <c r="G55" s="95"/>
      <c r="H55" s="95"/>
      <c r="I55" s="96">
        <f>MonthlyFcstAdj!K175</f>
        <v>2249822.7799999998</v>
      </c>
      <c r="J55" s="96">
        <f>MonthlyFcstAdj!L175</f>
        <v>2528346.1599999997</v>
      </c>
      <c r="K55" s="96">
        <f>MonthlyFcstAdj!M175</f>
        <v>2327099.6</v>
      </c>
      <c r="L55" s="96">
        <f>MonthlyFcstAdj!N175</f>
        <v>2529539.48</v>
      </c>
      <c r="M55" s="96">
        <f>MonthlyFcstAdj!O175</f>
        <v>2389297.73</v>
      </c>
      <c r="N55" s="96">
        <f>MonthlyFcstAdj!P175</f>
        <v>1770055.9027096112</v>
      </c>
      <c r="O55" s="96">
        <f>MonthlyFcstAdj!Q175</f>
        <v>1669199.5461243845</v>
      </c>
      <c r="P55" s="96">
        <f>MonthlyFcstAdj!R175</f>
        <v>1928637.8638823996</v>
      </c>
      <c r="Q55" s="96">
        <f>MonthlyFcstAdj!S175</f>
        <v>1510503.0887276516</v>
      </c>
      <c r="R55" s="96">
        <f>MonthlyFcstAdj!T175</f>
        <v>1585972.4389459768</v>
      </c>
      <c r="S55" s="96">
        <f>MonthlyFcstAdj!U175</f>
        <v>1698466.4095835104</v>
      </c>
      <c r="T55" s="96">
        <f>MonthlyFcstAdj!V175</f>
        <v>1811110.3588407182</v>
      </c>
      <c r="U55" s="96">
        <f t="shared" si="12"/>
        <v>23998051.358814251</v>
      </c>
      <c r="V55" s="96"/>
      <c r="W55" s="96">
        <f>MonthlyFcstAdj!Y175</f>
        <v>21000771.860090662</v>
      </c>
    </row>
    <row r="56" spans="1:23">
      <c r="A56" s="72"/>
      <c r="B56" s="73" t="s">
        <v>278</v>
      </c>
      <c r="C56" s="51"/>
      <c r="D56" s="74"/>
      <c r="E56" s="95" t="s">
        <v>285</v>
      </c>
      <c r="F56" s="95"/>
      <c r="G56" s="95"/>
      <c r="H56" s="95"/>
      <c r="I56" s="96">
        <f>MonthlyFcstAdj!K181</f>
        <v>2503613.11</v>
      </c>
      <c r="J56" s="96">
        <f>MonthlyFcstAdj!L181</f>
        <v>2778615.07</v>
      </c>
      <c r="K56" s="96">
        <f>MonthlyFcstAdj!M181</f>
        <v>2540641.25</v>
      </c>
      <c r="L56" s="96">
        <f>MonthlyFcstAdj!N181</f>
        <v>2744925.51</v>
      </c>
      <c r="M56" s="96">
        <f>MonthlyFcstAdj!O181</f>
        <v>2703877.0999999996</v>
      </c>
      <c r="N56" s="96">
        <f>MonthlyFcstAdj!P181</f>
        <v>1902188.8654904605</v>
      </c>
      <c r="O56" s="96">
        <f>MonthlyFcstAdj!Q181</f>
        <v>1985732.5116570005</v>
      </c>
      <c r="P56" s="96">
        <f>MonthlyFcstAdj!R181</f>
        <v>1989492.0648073782</v>
      </c>
      <c r="Q56" s="96">
        <f>MonthlyFcstAdj!S181</f>
        <v>2127921.3177094413</v>
      </c>
      <c r="R56" s="96">
        <f>MonthlyFcstAdj!T181</f>
        <v>2159253.5064569484</v>
      </c>
      <c r="S56" s="96">
        <f>MonthlyFcstAdj!U181</f>
        <v>2284109.4445094122</v>
      </c>
      <c r="T56" s="96">
        <f>MonthlyFcstAdj!V181</f>
        <v>2311322.9783982323</v>
      </c>
      <c r="U56" s="96">
        <f t="shared" si="12"/>
        <v>28031692.729028877</v>
      </c>
      <c r="V56" s="96"/>
      <c r="W56" s="96">
        <f>MonthlyFcstAdj!Y181</f>
        <v>26959122.470825221</v>
      </c>
    </row>
    <row r="57" spans="1:23">
      <c r="A57" s="72"/>
      <c r="B57" s="73" t="s">
        <v>278</v>
      </c>
      <c r="C57" s="51"/>
      <c r="D57" s="74"/>
      <c r="E57" s="95" t="s">
        <v>286</v>
      </c>
      <c r="F57" s="95"/>
      <c r="G57" s="95"/>
      <c r="H57" s="95"/>
      <c r="I57" s="96">
        <f>MonthlyFcstAdj!K187</f>
        <v>611883</v>
      </c>
      <c r="J57" s="96">
        <f>MonthlyFcstAdj!L187</f>
        <v>768799.85</v>
      </c>
      <c r="K57" s="96">
        <f>MonthlyFcstAdj!M187</f>
        <v>629196.5</v>
      </c>
      <c r="L57" s="96">
        <f>MonthlyFcstAdj!N187</f>
        <v>608020.9800000001</v>
      </c>
      <c r="M57" s="96">
        <f>MonthlyFcstAdj!O187</f>
        <v>712822.49</v>
      </c>
      <c r="N57" s="96">
        <f>MonthlyFcstAdj!P187</f>
        <v>422487.74342882715</v>
      </c>
      <c r="O57" s="96">
        <f>MonthlyFcstAdj!Q187</f>
        <v>443487.35807489062</v>
      </c>
      <c r="P57" s="96">
        <f>MonthlyFcstAdj!R187</f>
        <v>447418.35494852089</v>
      </c>
      <c r="Q57" s="96">
        <f>MonthlyFcstAdj!S187</f>
        <v>483290.16415370663</v>
      </c>
      <c r="R57" s="96">
        <f>MonthlyFcstAdj!T187</f>
        <v>499464.84633717238</v>
      </c>
      <c r="S57" s="96">
        <f>MonthlyFcstAdj!U187</f>
        <v>526035.75865150639</v>
      </c>
      <c r="T57" s="96">
        <f>MonthlyFcstAdj!V187</f>
        <v>542523.03627874842</v>
      </c>
      <c r="U57" s="96">
        <f t="shared" si="12"/>
        <v>6695430.0818733722</v>
      </c>
      <c r="V57" s="96"/>
      <c r="W57" s="96">
        <f>MonthlyFcstAdj!Y187</f>
        <v>6641323.6940162834</v>
      </c>
    </row>
    <row r="58" spans="1:23">
      <c r="A58" s="72"/>
      <c r="B58" s="73" t="s">
        <v>278</v>
      </c>
      <c r="C58" s="51"/>
      <c r="D58" s="74"/>
      <c r="E58" s="95" t="s">
        <v>287</v>
      </c>
      <c r="F58" s="95"/>
      <c r="G58" s="95"/>
      <c r="H58" s="95"/>
      <c r="I58" s="96">
        <f>MonthlyFcstAdj!K193</f>
        <v>2345308.1</v>
      </c>
      <c r="J58" s="96">
        <f>MonthlyFcstAdj!L193</f>
        <v>2358862.69</v>
      </c>
      <c r="K58" s="96">
        <f>MonthlyFcstAdj!M193</f>
        <v>2253490.61</v>
      </c>
      <c r="L58" s="96">
        <f>MonthlyFcstAdj!N193</f>
        <v>2358086.7000000002</v>
      </c>
      <c r="M58" s="96">
        <f>MonthlyFcstAdj!O193</f>
        <v>2360542.34</v>
      </c>
      <c r="N58" s="96">
        <f>MonthlyFcstAdj!P193</f>
        <v>2379582.8712840108</v>
      </c>
      <c r="O58" s="96">
        <f>MonthlyFcstAdj!Q193</f>
        <v>2382010.9992840108</v>
      </c>
      <c r="P58" s="96">
        <f>MonthlyFcstAdj!R193</f>
        <v>2383125.7497251872</v>
      </c>
      <c r="Q58" s="96">
        <f>MonthlyFcstAdj!S193</f>
        <v>2381997.4601173443</v>
      </c>
      <c r="R58" s="96">
        <f>MonthlyFcstAdj!T193</f>
        <v>2381182.2465879326</v>
      </c>
      <c r="S58" s="96">
        <f>MonthlyFcstAdj!U193</f>
        <v>2381997.4601173443</v>
      </c>
      <c r="T58" s="96">
        <f>MonthlyFcstAdj!V193</f>
        <v>2381182.2465879326</v>
      </c>
      <c r="U58" s="96">
        <f t="shared" si="12"/>
        <v>28347369.473703764</v>
      </c>
      <c r="V58" s="96"/>
      <c r="W58" s="96">
        <f>MonthlyFcstAdj!Y193</f>
        <v>28994283.793963611</v>
      </c>
    </row>
    <row r="59" spans="1:23">
      <c r="A59" s="72"/>
      <c r="B59" s="73" t="s">
        <v>278</v>
      </c>
      <c r="C59" s="51"/>
      <c r="D59" s="74"/>
      <c r="E59" s="95" t="s">
        <v>288</v>
      </c>
      <c r="F59" s="95"/>
      <c r="G59" s="95"/>
      <c r="H59" s="95"/>
      <c r="I59" s="96">
        <f>MonthlyFcstAdj!K198</f>
        <v>917201.3600000001</v>
      </c>
      <c r="J59" s="96">
        <f>MonthlyFcstAdj!L198</f>
        <v>917024.2</v>
      </c>
      <c r="K59" s="96">
        <f>MonthlyFcstAdj!M198</f>
        <v>941195.33</v>
      </c>
      <c r="L59" s="96">
        <f>MonthlyFcstAdj!N198</f>
        <v>958132.54999999993</v>
      </c>
      <c r="M59" s="96">
        <f>MonthlyFcstAdj!O198</f>
        <v>974872.74</v>
      </c>
      <c r="N59" s="96">
        <f>MonthlyFcstAdj!P198</f>
        <v>953344.7240522881</v>
      </c>
      <c r="O59" s="96">
        <f>MonthlyFcstAdj!Q198</f>
        <v>953344.7240522881</v>
      </c>
      <c r="P59" s="96">
        <f>MonthlyFcstAdj!R198</f>
        <v>895047.28379084985</v>
      </c>
      <c r="Q59" s="96">
        <f>MonthlyFcstAdj!S198</f>
        <v>954160.04208507494</v>
      </c>
      <c r="R59" s="96">
        <f>MonthlyFcstAdj!T198</f>
        <v>923380.68588878145</v>
      </c>
      <c r="S59" s="96">
        <f>MonthlyFcstAdj!U198</f>
        <v>954160.04208507494</v>
      </c>
      <c r="T59" s="96">
        <f>MonthlyFcstAdj!V198</f>
        <v>923380.68588878145</v>
      </c>
      <c r="U59" s="96">
        <f t="shared" si="12"/>
        <v>11265244.36784314</v>
      </c>
      <c r="V59" s="96"/>
      <c r="W59" s="96">
        <f>MonthlyFcstAdj!Y198</f>
        <v>11013601.49895604</v>
      </c>
    </row>
    <row r="60" spans="1:23">
      <c r="A60" s="72"/>
      <c r="B60" s="73" t="s">
        <v>278</v>
      </c>
      <c r="C60" s="51"/>
      <c r="D60" s="74"/>
      <c r="E60" s="95" t="s">
        <v>289</v>
      </c>
      <c r="F60" s="95"/>
      <c r="G60" s="95"/>
      <c r="H60" s="95"/>
      <c r="I60" s="96">
        <f>MonthlyFcstAdj!K203</f>
        <v>363322.27</v>
      </c>
      <c r="J60" s="96">
        <f>MonthlyFcstAdj!L203</f>
        <v>397789.5</v>
      </c>
      <c r="K60" s="96">
        <f>MonthlyFcstAdj!M203</f>
        <v>399454.08</v>
      </c>
      <c r="L60" s="96">
        <f>MonthlyFcstAdj!N203</f>
        <v>490681.92</v>
      </c>
      <c r="M60" s="96">
        <f>MonthlyFcstAdj!O203</f>
        <v>484347.11</v>
      </c>
      <c r="N60" s="96">
        <f>MonthlyFcstAdj!P203</f>
        <v>409382.37625568901</v>
      </c>
      <c r="O60" s="96">
        <f>MonthlyFcstAdj!Q203</f>
        <v>498654.6106731036</v>
      </c>
      <c r="P60" s="96">
        <f>MonthlyFcstAdj!R203</f>
        <v>513043.48834663426</v>
      </c>
      <c r="Q60" s="96">
        <f>MonthlyFcstAdj!S203</f>
        <v>691364.42867583432</v>
      </c>
      <c r="R60" s="96">
        <f>MonthlyFcstAdj!T203</f>
        <v>717999.57586289675</v>
      </c>
      <c r="S60" s="96">
        <f>MonthlyFcstAdj!U203</f>
        <v>703237.53748597321</v>
      </c>
      <c r="T60" s="96">
        <f>MonthlyFcstAdj!V203</f>
        <v>575237.21982348745</v>
      </c>
      <c r="U60" s="96">
        <f t="shared" si="12"/>
        <v>6244514.1171236178</v>
      </c>
      <c r="V60" s="96"/>
      <c r="W60" s="96">
        <f>MonthlyFcstAdj!Y203</f>
        <v>7552569.5336410766</v>
      </c>
    </row>
    <row r="61" spans="1:23">
      <c r="A61" s="72"/>
      <c r="B61" s="73" t="s">
        <v>278</v>
      </c>
      <c r="C61" s="51"/>
      <c r="D61" s="74"/>
      <c r="E61" s="95" t="s">
        <v>290</v>
      </c>
      <c r="F61" s="95"/>
      <c r="G61" s="95"/>
      <c r="H61" s="95"/>
      <c r="I61" s="96">
        <f>MonthlyFcstAdj!K208</f>
        <v>599794.43999999994</v>
      </c>
      <c r="J61" s="96">
        <f>MonthlyFcstAdj!L208</f>
        <v>601441.03</v>
      </c>
      <c r="K61" s="96">
        <f>MonthlyFcstAdj!M208</f>
        <v>581746.62</v>
      </c>
      <c r="L61" s="96">
        <f>MonthlyFcstAdj!N208</f>
        <v>565670.13</v>
      </c>
      <c r="M61" s="96">
        <f>MonthlyFcstAdj!O208</f>
        <v>580426.36</v>
      </c>
      <c r="N61" s="96">
        <f>MonthlyFcstAdj!P208</f>
        <v>520263.35876917228</v>
      </c>
      <c r="O61" s="96">
        <f>MonthlyFcstAdj!Q208</f>
        <v>517290.63550551573</v>
      </c>
      <c r="P61" s="96">
        <f>MonthlyFcstAdj!R208</f>
        <v>813733.243539399</v>
      </c>
      <c r="Q61" s="96">
        <f>MonthlyFcstAdj!S208</f>
        <v>708845.70207576221</v>
      </c>
      <c r="R61" s="96">
        <f>MonthlyFcstAdj!T208</f>
        <v>797732.49500203214</v>
      </c>
      <c r="S61" s="96">
        <f>MonthlyFcstAdj!U208</f>
        <v>802129.58091302949</v>
      </c>
      <c r="T61" s="96">
        <f>MonthlyFcstAdj!V208</f>
        <v>817513.64231036697</v>
      </c>
      <c r="U61" s="96">
        <f t="shared" si="12"/>
        <v>7906587.2381152771</v>
      </c>
      <c r="V61" s="96"/>
      <c r="W61" s="96">
        <f>MonthlyFcstAdj!Y208</f>
        <v>8125334.8067778088</v>
      </c>
    </row>
    <row r="62" spans="1:23">
      <c r="A62" s="72"/>
      <c r="B62" s="73" t="s">
        <v>278</v>
      </c>
      <c r="C62" s="51"/>
      <c r="D62" s="74"/>
      <c r="E62" s="95" t="s">
        <v>291</v>
      </c>
      <c r="F62" s="95"/>
      <c r="G62" s="95"/>
      <c r="H62" s="95"/>
      <c r="I62" s="96">
        <f>MonthlyFcstAdj!K213</f>
        <v>525977.99000000011</v>
      </c>
      <c r="J62" s="96">
        <f>MonthlyFcstAdj!L213</f>
        <v>1044555.2599999999</v>
      </c>
      <c r="K62" s="96">
        <f>MonthlyFcstAdj!M213</f>
        <v>819043.96000000008</v>
      </c>
      <c r="L62" s="96">
        <f>MonthlyFcstAdj!N213</f>
        <v>826106.67</v>
      </c>
      <c r="M62" s="96">
        <f>MonthlyFcstAdj!O213</f>
        <v>877329.65000000014</v>
      </c>
      <c r="N62" s="96">
        <f>MonthlyFcstAdj!P213</f>
        <v>737129.97465875</v>
      </c>
      <c r="O62" s="96">
        <f>MonthlyFcstAdj!Q213</f>
        <v>736918.95799208316</v>
      </c>
      <c r="P62" s="96">
        <f>MonthlyFcstAdj!R213</f>
        <v>739158.25799208321</v>
      </c>
      <c r="Q62" s="96">
        <f>MonthlyFcstAdj!S213</f>
        <v>752871.98857939523</v>
      </c>
      <c r="R62" s="96">
        <f>MonthlyFcstAdj!T213</f>
        <v>755216.61357939523</v>
      </c>
      <c r="S62" s="96">
        <f>MonthlyFcstAdj!U213</f>
        <v>755215.61357939511</v>
      </c>
      <c r="T62" s="96">
        <f>MonthlyFcstAdj!V213</f>
        <v>755216.61357939523</v>
      </c>
      <c r="U62" s="96">
        <f t="shared" si="12"/>
        <v>9324741.5499604978</v>
      </c>
      <c r="V62" s="96"/>
      <c r="W62" s="96">
        <f>MonthlyFcstAdj!Y213</f>
        <v>8778803.9367392585</v>
      </c>
    </row>
    <row r="63" spans="1:23">
      <c r="A63" s="72"/>
      <c r="B63" s="73" t="s">
        <v>278</v>
      </c>
      <c r="C63" s="51"/>
      <c r="D63" s="74"/>
      <c r="E63" s="95" t="s">
        <v>292</v>
      </c>
      <c r="F63" s="95"/>
      <c r="G63" s="95"/>
      <c r="H63" s="95"/>
      <c r="I63" s="96">
        <f>MonthlyFcstAdj!K218</f>
        <v>403471.67</v>
      </c>
      <c r="J63" s="96">
        <f>MonthlyFcstAdj!L218</f>
        <v>403069.39</v>
      </c>
      <c r="K63" s="96">
        <f>MonthlyFcstAdj!M218</f>
        <v>408624.61</v>
      </c>
      <c r="L63" s="96">
        <f>MonthlyFcstAdj!N218</f>
        <v>404230.56</v>
      </c>
      <c r="M63" s="96">
        <f>MonthlyFcstAdj!O218</f>
        <v>384067.64999999997</v>
      </c>
      <c r="N63" s="96">
        <f>MonthlyFcstAdj!P218</f>
        <v>405930.5900653596</v>
      </c>
      <c r="O63" s="96">
        <f>MonthlyFcstAdj!Q218</f>
        <v>405930.5900653596</v>
      </c>
      <c r="P63" s="96">
        <f>MonthlyFcstAdj!R218</f>
        <v>379741.51973856165</v>
      </c>
      <c r="Q63" s="96">
        <f>MonthlyFcstAdj!S218</f>
        <v>405930.5900653596</v>
      </c>
      <c r="R63" s="96">
        <f>MonthlyFcstAdj!T218</f>
        <v>392836.0549019606</v>
      </c>
      <c r="S63" s="96">
        <f>MonthlyFcstAdj!U218</f>
        <v>405930.5900653596</v>
      </c>
      <c r="T63" s="96">
        <f>MonthlyFcstAdj!V218</f>
        <v>392836.0549019606</v>
      </c>
      <c r="U63" s="96">
        <f t="shared" si="12"/>
        <v>4792599.8698039213</v>
      </c>
      <c r="V63" s="96"/>
      <c r="W63" s="96">
        <f>MonthlyFcstAdj!Y218</f>
        <v>5724904.680047824</v>
      </c>
    </row>
    <row r="64" spans="1:23">
      <c r="A64" s="72"/>
      <c r="B64" s="73" t="s">
        <v>278</v>
      </c>
      <c r="C64" s="51"/>
      <c r="D64" s="74"/>
      <c r="E64" s="95" t="s">
        <v>276</v>
      </c>
      <c r="F64" s="95"/>
      <c r="G64" s="95"/>
      <c r="H64" s="95"/>
      <c r="I64" s="96">
        <f>MonthlyFcstAdj!K223</f>
        <v>0</v>
      </c>
      <c r="J64" s="96">
        <f>MonthlyFcstAdj!L223</f>
        <v>0</v>
      </c>
      <c r="K64" s="96">
        <f>MonthlyFcstAdj!M223</f>
        <v>0</v>
      </c>
      <c r="L64" s="96">
        <f>MonthlyFcstAdj!N223</f>
        <v>0</v>
      </c>
      <c r="M64" s="96">
        <f>MonthlyFcstAdj!O223</f>
        <v>0</v>
      </c>
      <c r="N64" s="96">
        <f>MonthlyFcstAdj!P223</f>
        <v>0</v>
      </c>
      <c r="O64" s="96">
        <f>MonthlyFcstAdj!Q223</f>
        <v>0</v>
      </c>
      <c r="P64" s="96">
        <f>MonthlyFcstAdj!R223</f>
        <v>0</v>
      </c>
      <c r="Q64" s="96">
        <f>MonthlyFcstAdj!S223</f>
        <v>0</v>
      </c>
      <c r="R64" s="96">
        <f>MonthlyFcstAdj!T223</f>
        <v>0</v>
      </c>
      <c r="S64" s="96">
        <f>MonthlyFcstAdj!U223</f>
        <v>0</v>
      </c>
      <c r="T64" s="96">
        <f>MonthlyFcstAdj!V223</f>
        <v>0</v>
      </c>
      <c r="U64" s="96">
        <f t="shared" si="12"/>
        <v>0</v>
      </c>
      <c r="V64" s="96"/>
      <c r="W64" s="96">
        <f>MonthlyFcstAdj!Y223</f>
        <v>0</v>
      </c>
    </row>
    <row r="65" spans="1:23">
      <c r="A65" s="72"/>
      <c r="B65" s="73" t="s">
        <v>278</v>
      </c>
      <c r="C65" s="51"/>
      <c r="D65" s="74"/>
      <c r="E65" s="95" t="s">
        <v>293</v>
      </c>
      <c r="F65" s="95"/>
      <c r="G65" s="95"/>
      <c r="H65" s="95"/>
      <c r="I65" s="96">
        <f>MonthlyFcstAdj!K228</f>
        <v>3079808.72</v>
      </c>
      <c r="J65" s="96">
        <f>MonthlyFcstAdj!L228</f>
        <v>3392013.31</v>
      </c>
      <c r="K65" s="96">
        <f>MonthlyFcstAdj!M228</f>
        <v>3595597.56</v>
      </c>
      <c r="L65" s="96">
        <f>MonthlyFcstAdj!N228</f>
        <v>3186697.02</v>
      </c>
      <c r="M65" s="96">
        <f>MonthlyFcstAdj!O228</f>
        <v>3153603.11</v>
      </c>
      <c r="N65" s="96">
        <f>MonthlyFcstAdj!P228</f>
        <v>3294468.097719904</v>
      </c>
      <c r="O65" s="96">
        <f>MonthlyFcstAdj!Q228</f>
        <v>3302645.0748518296</v>
      </c>
      <c r="P65" s="96">
        <f>MonthlyFcstAdj!R228</f>
        <v>3223947.483107849</v>
      </c>
      <c r="Q65" s="96">
        <f>MonthlyFcstAdj!S228</f>
        <v>3178869.9925740673</v>
      </c>
      <c r="R65" s="96">
        <f>MonthlyFcstAdj!T228</f>
        <v>3192875.0343527854</v>
      </c>
      <c r="S65" s="96">
        <f>MonthlyFcstAdj!U228</f>
        <v>3298407.8779925434</v>
      </c>
      <c r="T65" s="96">
        <f>MonthlyFcstAdj!V228</f>
        <v>3183267.9176194957</v>
      </c>
      <c r="U65" s="96">
        <f t="shared" si="12"/>
        <v>39082201.198218472</v>
      </c>
      <c r="V65" s="96"/>
      <c r="W65" s="96">
        <f>MonthlyFcstAdj!Y228</f>
        <v>39352669.872318745</v>
      </c>
    </row>
    <row r="66" spans="1:23">
      <c r="A66" s="55"/>
      <c r="B66" s="55"/>
      <c r="C66" s="51"/>
      <c r="D66" s="58"/>
      <c r="E66" s="95"/>
      <c r="F66" s="95"/>
      <c r="G66" s="95"/>
      <c r="H66" s="95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</row>
    <row r="67" spans="1:23">
      <c r="A67" s="55"/>
      <c r="B67" s="55"/>
      <c r="C67" s="51"/>
      <c r="D67" s="58"/>
      <c r="E67" s="98" t="s">
        <v>247</v>
      </c>
      <c r="F67" s="98"/>
      <c r="G67" s="98"/>
      <c r="H67" s="98"/>
      <c r="I67" s="99">
        <f>SUM(I48:I65)</f>
        <v>32478319.390000004</v>
      </c>
      <c r="J67" s="99">
        <f t="shared" ref="J67:U67" si="13">SUM(J48:J65)</f>
        <v>34513651.140000008</v>
      </c>
      <c r="K67" s="99">
        <f t="shared" si="13"/>
        <v>34159563.039999999</v>
      </c>
      <c r="L67" s="99">
        <f t="shared" si="13"/>
        <v>34341983.050000004</v>
      </c>
      <c r="M67" s="99">
        <f t="shared" si="13"/>
        <v>33690269.139999993</v>
      </c>
      <c r="N67" s="99">
        <f t="shared" si="13"/>
        <v>28688856.177448895</v>
      </c>
      <c r="O67" s="99">
        <f t="shared" si="13"/>
        <v>29458256.292292543</v>
      </c>
      <c r="P67" s="99">
        <f t="shared" si="13"/>
        <v>29393107.090884656</v>
      </c>
      <c r="Q67" s="99">
        <f t="shared" si="13"/>
        <v>29810080.028051481</v>
      </c>
      <c r="R67" s="99">
        <f t="shared" si="13"/>
        <v>30022735.952675793</v>
      </c>
      <c r="S67" s="99">
        <f t="shared" si="13"/>
        <v>31119042.472862713</v>
      </c>
      <c r="T67" s="99">
        <f t="shared" si="13"/>
        <v>35359781.963905074</v>
      </c>
      <c r="U67" s="99">
        <f t="shared" si="13"/>
        <v>383035645.73812103</v>
      </c>
      <c r="V67" s="99"/>
      <c r="W67" s="99">
        <f t="shared" ref="W67" si="14">SUM(W48:W65)</f>
        <v>386697833.44392514</v>
      </c>
    </row>
    <row r="68" spans="1:23">
      <c r="A68" s="55"/>
      <c r="B68" s="48"/>
      <c r="C68" s="51"/>
      <c r="F68" s="76"/>
      <c r="G68" s="71"/>
      <c r="H68" s="83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>
      <c r="B69" s="48"/>
      <c r="C69" s="51"/>
      <c r="E69" s="98" t="s">
        <v>248</v>
      </c>
      <c r="F69" s="98"/>
      <c r="G69" s="98"/>
      <c r="H69" s="98"/>
      <c r="I69" s="99">
        <f t="shared" ref="I69:U69" si="15">I44-I67</f>
        <v>-362807.0095891878</v>
      </c>
      <c r="J69" s="99">
        <f t="shared" si="15"/>
        <v>-1240053.016424235</v>
      </c>
      <c r="K69" s="99">
        <f t="shared" si="15"/>
        <v>620706.21304128319</v>
      </c>
      <c r="L69" s="99">
        <f t="shared" si="15"/>
        <v>-478310.55981805176</v>
      </c>
      <c r="M69" s="99">
        <f t="shared" si="15"/>
        <v>1301775.2479430139</v>
      </c>
      <c r="N69" s="99">
        <f t="shared" si="15"/>
        <v>1128765.3914846219</v>
      </c>
      <c r="O69" s="99">
        <f t="shared" si="15"/>
        <v>2662380.1664473265</v>
      </c>
      <c r="P69" s="99">
        <f t="shared" si="15"/>
        <v>1757385.8907090314</v>
      </c>
      <c r="Q69" s="99">
        <f t="shared" si="15"/>
        <v>1914778.8111692555</v>
      </c>
      <c r="R69" s="99">
        <f t="shared" si="15"/>
        <v>2548684.7673240863</v>
      </c>
      <c r="S69" s="99">
        <f t="shared" si="15"/>
        <v>1431465.9011687748</v>
      </c>
      <c r="T69" s="99">
        <f t="shared" si="15"/>
        <v>-2591567.8500284702</v>
      </c>
      <c r="U69" s="99">
        <f t="shared" si="15"/>
        <v>8693203.9534275532</v>
      </c>
      <c r="V69" s="99"/>
      <c r="W69" s="99">
        <f t="shared" ref="W69" si="16">W44-W67</f>
        <v>22651366.887968361</v>
      </c>
    </row>
    <row r="70" spans="1:23">
      <c r="B70" s="48"/>
      <c r="C70" s="51"/>
      <c r="G70" s="71"/>
      <c r="H70" s="53"/>
    </row>
    <row r="71" spans="1:23">
      <c r="A71" s="72"/>
      <c r="B71" s="73"/>
      <c r="C71" s="51"/>
      <c r="D71" s="74"/>
      <c r="E71" s="98" t="s">
        <v>449</v>
      </c>
      <c r="F71" s="98"/>
      <c r="G71" s="98"/>
      <c r="H71" s="98"/>
      <c r="I71" s="99">
        <f>MonthlyFcstAdj!K116</f>
        <v>488871.47083088581</v>
      </c>
      <c r="J71" s="99">
        <f>MonthlyFcstAdj!L116</f>
        <v>467134.79460890003</v>
      </c>
      <c r="K71" s="99">
        <f>MonthlyFcstAdj!M116</f>
        <v>476315.38021050009</v>
      </c>
      <c r="L71" s="99">
        <f>MonthlyFcstAdj!N116</f>
        <v>483842.20977900003</v>
      </c>
      <c r="M71" s="99">
        <f>MonthlyFcstAdj!O116</f>
        <v>450677.24780140002</v>
      </c>
      <c r="N71" s="99">
        <f>MonthlyFcstAdj!P116</f>
        <v>318234.97201904916</v>
      </c>
      <c r="O71" s="99">
        <f>MonthlyFcstAdj!Q116</f>
        <v>329846.77374643361</v>
      </c>
      <c r="P71" s="99">
        <f>MonthlyFcstAdj!R116</f>
        <v>328295.36221165967</v>
      </c>
      <c r="Q71" s="99">
        <f>MonthlyFcstAdj!S116</f>
        <v>343446.53549822926</v>
      </c>
      <c r="R71" s="99">
        <f>MonthlyFcstAdj!T116</f>
        <v>351484.76977342594</v>
      </c>
      <c r="S71" s="99">
        <f>MonthlyFcstAdj!U116</f>
        <v>368198.05039729626</v>
      </c>
      <c r="T71" s="99">
        <f>MonthlyFcstAdj!V116</f>
        <v>376883.30291915225</v>
      </c>
      <c r="U71" s="99">
        <f>SUM(I71:T71)</f>
        <v>4783230.8697959324</v>
      </c>
      <c r="V71" s="99"/>
      <c r="W71" s="99">
        <f>MonthlyFcstAdj!Y116</f>
        <v>11285219.396341819</v>
      </c>
    </row>
    <row r="72" spans="1:23">
      <c r="A72" s="72"/>
      <c r="B72" s="77"/>
      <c r="C72" s="51"/>
      <c r="D72" s="74"/>
      <c r="E72" s="98" t="s">
        <v>294</v>
      </c>
      <c r="F72" s="98"/>
      <c r="G72" s="98"/>
      <c r="H72" s="98"/>
      <c r="I72" s="99">
        <f>IF(I5=0,0,I71/I5)</f>
        <v>2767.3400566574696</v>
      </c>
      <c r="J72" s="99">
        <f t="shared" ref="J72:U72" si="17">IF(J5=0,0,J71/J5)</f>
        <v>2644.2959062073328</v>
      </c>
      <c r="K72" s="99">
        <f t="shared" si="17"/>
        <v>2786.1396438594961</v>
      </c>
      <c r="L72" s="99">
        <f t="shared" si="17"/>
        <v>2738.8710696236872</v>
      </c>
      <c r="M72" s="99">
        <f t="shared" si="17"/>
        <v>2636.1730039665231</v>
      </c>
      <c r="N72" s="99">
        <f t="shared" si="17"/>
        <v>1801.423151162425</v>
      </c>
      <c r="O72" s="99">
        <f t="shared" si="17"/>
        <v>1867.1537285584443</v>
      </c>
      <c r="P72" s="99">
        <f t="shared" si="17"/>
        <v>1959.251262381558</v>
      </c>
      <c r="Q72" s="99">
        <f t="shared" si="17"/>
        <v>1944.1374915765186</v>
      </c>
      <c r="R72" s="99">
        <f t="shared" si="17"/>
        <v>2055.9605924246875</v>
      </c>
      <c r="S72" s="99">
        <f t="shared" si="17"/>
        <v>2084.2476488060388</v>
      </c>
      <c r="T72" s="99">
        <f t="shared" si="17"/>
        <v>2204.5257302161954</v>
      </c>
      <c r="U72" s="99">
        <f t="shared" si="17"/>
        <v>2290.8193820861775</v>
      </c>
      <c r="V72" s="99"/>
      <c r="W72" s="99">
        <f t="shared" ref="W72" si="18">IF(W5=0,0,W71/W5)</f>
        <v>5404.7985614663958</v>
      </c>
    </row>
    <row r="73" spans="1:23">
      <c r="B73" s="48"/>
      <c r="C73" s="51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</row>
    <row r="74" spans="1:23">
      <c r="A74" s="55"/>
      <c r="B74" s="55"/>
      <c r="C74" s="51"/>
      <c r="D74" s="58"/>
      <c r="E74" s="94" t="s">
        <v>250</v>
      </c>
      <c r="F74" s="94"/>
      <c r="G74" s="94"/>
      <c r="H74" s="94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</row>
    <row r="75" spans="1:23">
      <c r="A75" s="55"/>
      <c r="B75" s="55"/>
      <c r="C75" s="51"/>
      <c r="D75" s="58"/>
      <c r="E75" s="95"/>
      <c r="F75" s="95"/>
      <c r="G75" s="95"/>
      <c r="H75" s="95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</row>
    <row r="76" spans="1:23" s="76" customFormat="1">
      <c r="A76" s="72"/>
      <c r="B76" s="77"/>
      <c r="C76" s="51"/>
      <c r="D76" s="74"/>
      <c r="E76" s="95" t="s">
        <v>295</v>
      </c>
      <c r="F76" s="95"/>
      <c r="G76" s="95"/>
      <c r="H76" s="95"/>
      <c r="I76" s="96">
        <f>MonthlyFcstAdj!K241</f>
        <v>9599.17</v>
      </c>
      <c r="J76" s="96">
        <f>MonthlyFcstAdj!L241</f>
        <v>4526.7</v>
      </c>
      <c r="K76" s="96">
        <f>MonthlyFcstAdj!M241</f>
        <v>793.25</v>
      </c>
      <c r="L76" s="96">
        <f>MonthlyFcstAdj!N241</f>
        <v>729</v>
      </c>
      <c r="M76" s="96">
        <f>MonthlyFcstAdj!O241</f>
        <v>136107.44</v>
      </c>
      <c r="N76" s="96">
        <f>MonthlyFcstAdj!P241</f>
        <v>30747.85856209154</v>
      </c>
      <c r="O76" s="96">
        <f>MonthlyFcstAdj!Q241</f>
        <v>30747.85856209154</v>
      </c>
      <c r="P76" s="96">
        <f>MonthlyFcstAdj!R241</f>
        <v>28764.125751633943</v>
      </c>
      <c r="Q76" s="96">
        <f>MonthlyFcstAdj!S241</f>
        <v>30747.85856209154</v>
      </c>
      <c r="R76" s="96">
        <f>MonthlyFcstAdj!T241</f>
        <v>29755.992156862791</v>
      </c>
      <c r="S76" s="96">
        <f>MonthlyFcstAdj!U241</f>
        <v>30747.85856209154</v>
      </c>
      <c r="T76" s="96">
        <f>MonthlyFcstAdj!V241</f>
        <v>29755.992156862791</v>
      </c>
      <c r="U76" s="96">
        <f>SUM(I76:T76)</f>
        <v>363023.10431372572</v>
      </c>
      <c r="V76" s="96"/>
      <c r="W76" s="96">
        <f>MonthlyFcstAdj!Y241</f>
        <v>548417.158947872</v>
      </c>
    </row>
    <row r="77" spans="1:23" s="76" customFormat="1">
      <c r="A77" s="72"/>
      <c r="B77" s="77"/>
      <c r="C77" s="51"/>
      <c r="D77" s="74"/>
      <c r="E77" s="95" t="s">
        <v>296</v>
      </c>
      <c r="F77" s="95"/>
      <c r="G77" s="95"/>
      <c r="H77" s="95"/>
      <c r="I77" s="96">
        <f>MonthlyFcstAdj!K246</f>
        <v>410958.89</v>
      </c>
      <c r="J77" s="96">
        <f>MonthlyFcstAdj!L246</f>
        <v>54964.040000000008</v>
      </c>
      <c r="K77" s="96">
        <f>MonthlyFcstAdj!M246</f>
        <v>-83227.609999999986</v>
      </c>
      <c r="L77" s="96">
        <f>MonthlyFcstAdj!N246</f>
        <v>-232851.64</v>
      </c>
      <c r="M77" s="96">
        <f>MonthlyFcstAdj!O246</f>
        <v>-282380.15000000002</v>
      </c>
      <c r="N77" s="96">
        <f>MonthlyFcstAdj!P246</f>
        <v>-26853.794575163422</v>
      </c>
      <c r="O77" s="96">
        <f>MonthlyFcstAdj!Q246</f>
        <v>-26853.794575163422</v>
      </c>
      <c r="P77" s="96">
        <f>MonthlyFcstAdj!R246</f>
        <v>-25121.291699346373</v>
      </c>
      <c r="Q77" s="96">
        <f>MonthlyFcstAdj!S246</f>
        <v>-26853.794575163422</v>
      </c>
      <c r="R77" s="96">
        <f>MonthlyFcstAdj!T246</f>
        <v>-25987.54313725495</v>
      </c>
      <c r="S77" s="96">
        <f>MonthlyFcstAdj!U246</f>
        <v>-26853.794575163422</v>
      </c>
      <c r="T77" s="96">
        <f>MonthlyFcstAdj!V246</f>
        <v>-25987.54313725495</v>
      </c>
      <c r="U77" s="96">
        <f>SUM(I77:T77)</f>
        <v>-317048.0262745099</v>
      </c>
      <c r="V77" s="96"/>
      <c r="W77" s="96">
        <f>MonthlyFcstAdj!Y246</f>
        <v>-26631.317250119704</v>
      </c>
    </row>
    <row r="78" spans="1:23" s="76" customFormat="1">
      <c r="A78" s="72"/>
      <c r="B78" s="77"/>
      <c r="C78" s="51"/>
      <c r="D78" s="74"/>
      <c r="E78" s="95" t="s">
        <v>297</v>
      </c>
      <c r="F78" s="95"/>
      <c r="G78" s="95"/>
      <c r="H78" s="95"/>
      <c r="I78" s="96">
        <f>MonthlyFcstAdj!K251</f>
        <v>299245.15999999997</v>
      </c>
      <c r="J78" s="96">
        <f>MonthlyFcstAdj!L251</f>
        <v>59179.489999999991</v>
      </c>
      <c r="K78" s="96">
        <f>MonthlyFcstAdj!M251</f>
        <v>-3706434.52</v>
      </c>
      <c r="L78" s="96">
        <f>MonthlyFcstAdj!N251</f>
        <v>771733.18</v>
      </c>
      <c r="M78" s="96">
        <f>MonthlyFcstAdj!O251</f>
        <v>4127.6699999999983</v>
      </c>
      <c r="N78" s="96">
        <f>MonthlyFcstAdj!P251</f>
        <v>-521154.37660130713</v>
      </c>
      <c r="O78" s="96">
        <f>MonthlyFcstAdj!Q251</f>
        <v>-521154.37660130713</v>
      </c>
      <c r="P78" s="96">
        <f>MonthlyFcstAdj!R251</f>
        <v>-487531.51359477162</v>
      </c>
      <c r="Q78" s="96">
        <f>MonthlyFcstAdj!S251</f>
        <v>-521154.37660130713</v>
      </c>
      <c r="R78" s="96">
        <f>MonthlyFcstAdj!T251</f>
        <v>-504342.94509803929</v>
      </c>
      <c r="S78" s="96">
        <f>MonthlyFcstAdj!U251</f>
        <v>-521154.37660130713</v>
      </c>
      <c r="T78" s="96">
        <f>MonthlyFcstAdj!V251</f>
        <v>-504342.94509803929</v>
      </c>
      <c r="U78" s="96">
        <f>SUM(I78:T78)</f>
        <v>-6152983.9301960794</v>
      </c>
      <c r="V78" s="96"/>
      <c r="W78" s="96">
        <f>MonthlyFcstAdj!Y251</f>
        <v>-3575862.0784887606</v>
      </c>
    </row>
    <row r="79" spans="1:23" s="76" customFormat="1">
      <c r="A79" s="72"/>
      <c r="B79" s="77"/>
      <c r="C79" s="51"/>
      <c r="D79" s="74"/>
      <c r="E79" s="95" t="s">
        <v>298</v>
      </c>
      <c r="F79" s="95"/>
      <c r="G79" s="95"/>
      <c r="H79" s="95"/>
      <c r="I79" s="96">
        <f>MonthlyFcstAdj!K256</f>
        <v>-234584.65000000002</v>
      </c>
      <c r="J79" s="96">
        <f>MonthlyFcstAdj!L256</f>
        <v>-233371.32</v>
      </c>
      <c r="K79" s="96">
        <f>MonthlyFcstAdj!M256</f>
        <v>-208109.18999999997</v>
      </c>
      <c r="L79" s="96">
        <f>MonthlyFcstAdj!N256</f>
        <v>-228256.22000000003</v>
      </c>
      <c r="M79" s="96">
        <f>MonthlyFcstAdj!O256</f>
        <v>-235242.93000000002</v>
      </c>
      <c r="N79" s="96">
        <f>MonthlyFcstAdj!P256</f>
        <v>-230892.11509803898</v>
      </c>
      <c r="O79" s="96">
        <f>MonthlyFcstAdj!Q256</f>
        <v>-230892.11509803898</v>
      </c>
      <c r="P79" s="96">
        <f>MonthlyFcstAdj!R256</f>
        <v>-215995.8496078428</v>
      </c>
      <c r="Q79" s="96">
        <f>MonthlyFcstAdj!S256</f>
        <v>-230892.11509803898</v>
      </c>
      <c r="R79" s="96">
        <f>MonthlyFcstAdj!T256</f>
        <v>-223443.98235294092</v>
      </c>
      <c r="S79" s="96">
        <f>MonthlyFcstAdj!U256</f>
        <v>-230892.11509803898</v>
      </c>
      <c r="T79" s="96">
        <f>MonthlyFcstAdj!V256</f>
        <v>-223443.98235294092</v>
      </c>
      <c r="U79" s="96">
        <f>SUM(I79:T79)</f>
        <v>-2726016.5847058804</v>
      </c>
      <c r="V79" s="96"/>
      <c r="W79" s="96">
        <f>MonthlyFcstAdj!Y256</f>
        <v>-1640351.4649497829</v>
      </c>
    </row>
    <row r="80" spans="1:23" s="76" customFormat="1">
      <c r="A80" s="72"/>
      <c r="B80" s="77"/>
      <c r="C80" s="51"/>
      <c r="D80" s="74"/>
      <c r="E80" s="95" t="s">
        <v>299</v>
      </c>
      <c r="F80" s="95"/>
      <c r="G80" s="95"/>
      <c r="H80" s="95"/>
      <c r="I80" s="96">
        <f>MonthlyFcstAdj!K261</f>
        <v>-73548.92</v>
      </c>
      <c r="J80" s="96">
        <f>MonthlyFcstAdj!L261</f>
        <v>-1705.21</v>
      </c>
      <c r="K80" s="96">
        <f>MonthlyFcstAdj!M261</f>
        <v>206.08</v>
      </c>
      <c r="L80" s="96">
        <f>MonthlyFcstAdj!N261</f>
        <v>2932.65</v>
      </c>
      <c r="M80" s="96">
        <f>MonthlyFcstAdj!O261</f>
        <v>-53407.88</v>
      </c>
      <c r="N80" s="96">
        <f>MonthlyFcstAdj!P261</f>
        <v>-25432.8214379085</v>
      </c>
      <c r="O80" s="96">
        <f>MonthlyFcstAdj!Q261</f>
        <v>-25432.8214379085</v>
      </c>
      <c r="P80" s="96">
        <f>MonthlyFcstAdj!R261</f>
        <v>-23791.994248366002</v>
      </c>
      <c r="Q80" s="96">
        <f>MonthlyFcstAdj!S261</f>
        <v>-25432.8214379085</v>
      </c>
      <c r="R80" s="96">
        <f>MonthlyFcstAdj!T261</f>
        <v>-24612.407843137298</v>
      </c>
      <c r="S80" s="96">
        <f>MonthlyFcstAdj!U261</f>
        <v>-25432.8214379085</v>
      </c>
      <c r="T80" s="96">
        <f>MonthlyFcstAdj!V261</f>
        <v>-24612.407843137298</v>
      </c>
      <c r="U80" s="96">
        <f>SUM(I80:T80)</f>
        <v>-300271.37568627461</v>
      </c>
      <c r="V80" s="96"/>
      <c r="W80" s="96">
        <f>MonthlyFcstAdj!Y261</f>
        <v>-192337.21763749406</v>
      </c>
    </row>
    <row r="81" spans="1:23">
      <c r="A81" s="55"/>
      <c r="B81" s="55"/>
      <c r="C81" s="51"/>
      <c r="D81" s="58"/>
      <c r="E81" s="98" t="s">
        <v>256</v>
      </c>
      <c r="F81" s="98"/>
      <c r="G81" s="98"/>
      <c r="H81" s="98"/>
      <c r="I81" s="99">
        <f>SUM(I76:I80)</f>
        <v>411669.64999999997</v>
      </c>
      <c r="J81" s="99">
        <f t="shared" ref="J81:T81" si="19">SUM(J76:J80)</f>
        <v>-116406.30000000002</v>
      </c>
      <c r="K81" s="99">
        <f t="shared" si="19"/>
        <v>-3996771.9899999998</v>
      </c>
      <c r="L81" s="99">
        <f t="shared" si="19"/>
        <v>314286.97000000003</v>
      </c>
      <c r="M81" s="99">
        <f t="shared" si="19"/>
        <v>-430795.85000000009</v>
      </c>
      <c r="N81" s="99">
        <f t="shared" si="19"/>
        <v>-773585.24915032636</v>
      </c>
      <c r="O81" s="99">
        <f t="shared" si="19"/>
        <v>-773585.24915032636</v>
      </c>
      <c r="P81" s="99">
        <f t="shared" si="19"/>
        <v>-723676.52339869284</v>
      </c>
      <c r="Q81" s="99">
        <f t="shared" si="19"/>
        <v>-773585.24915032636</v>
      </c>
      <c r="R81" s="99">
        <f t="shared" si="19"/>
        <v>-748630.8862745096</v>
      </c>
      <c r="S81" s="99">
        <f t="shared" si="19"/>
        <v>-773585.24915032636</v>
      </c>
      <c r="T81" s="99">
        <f t="shared" si="19"/>
        <v>-748630.8862745096</v>
      </c>
      <c r="U81" s="99">
        <f>SUM(U76:U80)</f>
        <v>-9133296.8125490192</v>
      </c>
      <c r="V81" s="99"/>
      <c r="W81" s="99">
        <f t="shared" ref="W81" si="20">SUM(W76:W80)</f>
        <v>-4886764.9193782853</v>
      </c>
    </row>
    <row r="82" spans="1:23">
      <c r="A82" s="55"/>
      <c r="B82" s="55"/>
      <c r="C82" s="51"/>
      <c r="D82" s="58"/>
      <c r="E82" s="95"/>
      <c r="F82" s="95"/>
      <c r="G82" s="95"/>
      <c r="H82" s="95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</row>
    <row r="83" spans="1:23" s="76" customFormat="1">
      <c r="A83" s="72"/>
      <c r="B83" s="77"/>
      <c r="C83" s="51"/>
      <c r="D83" s="74"/>
      <c r="E83" s="95" t="s">
        <v>300</v>
      </c>
      <c r="F83" s="95"/>
      <c r="G83" s="95"/>
      <c r="H83" s="95"/>
      <c r="I83" s="96">
        <f>MonthlyFcstAdj!K268</f>
        <v>-5918666.0099999998</v>
      </c>
      <c r="J83" s="96">
        <f>MonthlyFcstAdj!L268</f>
        <v>2927006.15</v>
      </c>
      <c r="K83" s="96">
        <f>MonthlyFcstAdj!M268</f>
        <v>8393230.9299999997</v>
      </c>
      <c r="L83" s="96">
        <f>MonthlyFcstAdj!N268</f>
        <v>-3512125.29</v>
      </c>
      <c r="M83" s="96">
        <f>MonthlyFcstAdj!O268</f>
        <v>-811242.02</v>
      </c>
      <c r="N83" s="96">
        <f>MonthlyFcstAdj!P268</f>
        <v>218459.585359477</v>
      </c>
      <c r="O83" s="96">
        <f>MonthlyFcstAdj!Q268</f>
        <v>218459.585359477</v>
      </c>
      <c r="P83" s="96">
        <f>MonthlyFcstAdj!R268</f>
        <v>204365.418562092</v>
      </c>
      <c r="Q83" s="96">
        <f>MonthlyFcstAdj!S268</f>
        <v>218459.585359477</v>
      </c>
      <c r="R83" s="96">
        <f>MonthlyFcstAdj!T268</f>
        <v>211412.50196078399</v>
      </c>
      <c r="S83" s="96">
        <f>MonthlyFcstAdj!U268</f>
        <v>218459.585359477</v>
      </c>
      <c r="T83" s="96">
        <f>MonthlyFcstAdj!V268</f>
        <v>211412.50196078399</v>
      </c>
      <c r="U83" s="96">
        <f>SUM(I83:T83)</f>
        <v>2579232.5239215684</v>
      </c>
      <c r="V83" s="96"/>
      <c r="W83" s="96">
        <f>MonthlyFcstAdj!Y268</f>
        <v>3795202.1980679105</v>
      </c>
    </row>
    <row r="84" spans="1:23" s="76" customFormat="1">
      <c r="A84" s="72"/>
      <c r="B84" s="77"/>
      <c r="C84" s="51"/>
      <c r="D84" s="74"/>
      <c r="E84" s="95"/>
      <c r="F84" s="95"/>
      <c r="G84" s="95"/>
      <c r="H84" s="95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</row>
    <row r="85" spans="1:23">
      <c r="A85" s="55"/>
      <c r="B85" s="55"/>
      <c r="C85" s="51"/>
      <c r="D85" s="58"/>
      <c r="E85" s="103" t="s">
        <v>258</v>
      </c>
      <c r="F85" s="103"/>
      <c r="G85" s="104"/>
      <c r="H85" s="104"/>
      <c r="I85" s="104">
        <f t="shared" ref="I85:U85" si="21">SUM(I69,I81,I83)</f>
        <v>-5869803.3695891872</v>
      </c>
      <c r="J85" s="104">
        <f t="shared" si="21"/>
        <v>1570546.8335757649</v>
      </c>
      <c r="K85" s="104">
        <f t="shared" si="21"/>
        <v>5017165.1530412827</v>
      </c>
      <c r="L85" s="104">
        <f t="shared" si="21"/>
        <v>-3676148.8798180516</v>
      </c>
      <c r="M85" s="104">
        <f t="shared" si="21"/>
        <v>59737.377943013795</v>
      </c>
      <c r="N85" s="104">
        <f t="shared" si="21"/>
        <v>573639.72769377253</v>
      </c>
      <c r="O85" s="104">
        <f t="shared" si="21"/>
        <v>2107254.502656477</v>
      </c>
      <c r="P85" s="104">
        <f t="shared" si="21"/>
        <v>1238074.7858724305</v>
      </c>
      <c r="Q85" s="104">
        <f t="shared" si="21"/>
        <v>1359653.147378406</v>
      </c>
      <c r="R85" s="104">
        <f t="shared" si="21"/>
        <v>2011466.3830103606</v>
      </c>
      <c r="S85" s="104">
        <f t="shared" si="21"/>
        <v>876340.23737792543</v>
      </c>
      <c r="T85" s="104">
        <f t="shared" si="21"/>
        <v>-3128786.2343421956</v>
      </c>
      <c r="U85" s="104">
        <f t="shared" si="21"/>
        <v>2139139.6648001024</v>
      </c>
      <c r="V85" s="104"/>
      <c r="W85" s="104">
        <f t="shared" ref="W85" si="22">SUM(W69,W81,W83)</f>
        <v>21559804.166657988</v>
      </c>
    </row>
    <row r="86" spans="1:23">
      <c r="B86" s="48"/>
      <c r="C86" s="51"/>
      <c r="G86" s="71"/>
      <c r="H86" s="53"/>
    </row>
    <row r="87" spans="1:23">
      <c r="C87" s="51"/>
      <c r="G87" s="71"/>
      <c r="H87" s="53"/>
    </row>
    <row r="88" spans="1:23">
      <c r="C88" s="51"/>
      <c r="G88" s="71"/>
    </row>
    <row r="89" spans="1:23">
      <c r="C89" s="51"/>
    </row>
    <row r="90" spans="1:23">
      <c r="C90" s="51"/>
    </row>
    <row r="91" spans="1:23">
      <c r="C91" s="51"/>
    </row>
    <row r="92" spans="1:23">
      <c r="C92" s="51"/>
    </row>
    <row r="93" spans="1:23">
      <c r="C93" s="51"/>
    </row>
  </sheetData>
  <sheetProtection formatCells="0" autoFilter="0"/>
  <printOptions horizontalCentered="1"/>
  <pageMargins left="0.25" right="0.25" top="0.75" bottom="0.75" header="0.3" footer="0.3"/>
  <pageSetup scale="47" fitToHeight="0" orientation="landscape" horizontalDpi="4294967292" r:id="rId1"/>
  <headerFooter alignWithMargins="0">
    <oddFooter>&amp;L&amp;D &amp;T&amp;CPage &amp;P of &amp;N&amp;R&amp;F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3:BK273"/>
  <sheetViews>
    <sheetView showGridLines="0" showRowColHeaders="0" tabSelected="1" topLeftCell="F34" zoomScaleNormal="100" workbookViewId="0">
      <pane xSplit="4" ySplit="4" topLeftCell="J38" activePane="bottomRight" state="frozen"/>
      <selection activeCell="F34" sqref="F34"/>
      <selection pane="topRight" activeCell="J34" sqref="J34"/>
      <selection pane="bottomLeft" activeCell="F38" sqref="F38"/>
      <selection pane="bottomRight" activeCell="J38" sqref="J38"/>
    </sheetView>
  </sheetViews>
  <sheetFormatPr defaultColWidth="13.69921875" defaultRowHeight="15"/>
  <cols>
    <col min="1" max="1" width="11.3984375" style="47" customWidth="1"/>
    <col min="2" max="2" width="16.59765625" style="47" customWidth="1"/>
    <col min="3" max="3" width="49.69921875" style="47" customWidth="1"/>
    <col min="4" max="4" width="13.59765625" style="55" customWidth="1"/>
    <col min="5" max="5" width="4.19921875" style="47" customWidth="1"/>
    <col min="6" max="6" width="1.69921875" style="47" customWidth="1"/>
    <col min="7" max="7" width="45.19921875" style="48" customWidth="1"/>
    <col min="8" max="8" width="4.19921875" style="47" customWidth="1"/>
    <col min="9" max="9" width="4" style="47" customWidth="1"/>
    <col min="10" max="10" width="2.5" style="47" customWidth="1"/>
    <col min="11" max="15" width="16.59765625" style="47" customWidth="1"/>
    <col min="16" max="16" width="16.8984375" style="47" customWidth="1"/>
    <col min="17" max="22" width="16.59765625" style="47" customWidth="1"/>
    <col min="23" max="23" width="17.59765625" style="47" customWidth="1"/>
    <col min="24" max="24" width="6.3984375" style="47" customWidth="1"/>
    <col min="25" max="25" width="16.59765625" style="47" customWidth="1"/>
    <col min="26" max="27" width="15.8984375" style="47" customWidth="1"/>
    <col min="28" max="28" width="6.3984375" style="47" customWidth="1"/>
    <col min="29" max="41" width="15.59765625" style="47" customWidth="1"/>
    <col min="42" max="42" width="13.59765625" style="47" customWidth="1"/>
    <col min="43" max="43" width="35" style="47" customWidth="1"/>
    <col min="44" max="46" width="19.19921875" style="55" customWidth="1"/>
    <col min="47" max="57" width="13.69921875" style="47" hidden="1" customWidth="1"/>
    <col min="58" max="58" width="15.19921875" style="47" hidden="1" customWidth="1"/>
    <col min="59" max="63" width="13.69921875" style="47" hidden="1" customWidth="1"/>
    <col min="64" max="16384" width="13.69921875" style="47"/>
  </cols>
  <sheetData>
    <row r="3" spans="1:63" ht="16.8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 t="str">
        <f>$H$15&amp;".P"&amp;K$21&amp;"; Dept.Dept NOT IN ("&amp;Control!$G$17&amp;")"</f>
        <v>CYF2020.P1; Dept.Dept NOT IN (0)</v>
      </c>
      <c r="L3" s="105" t="str">
        <f>$H$15&amp;".P"&amp;L$21&amp;"; Dept.Dept NOT IN ("&amp;Control!$G$17&amp;")"</f>
        <v>CYF2020.P2; Dept.Dept NOT IN (0)</v>
      </c>
      <c r="M3" s="105" t="str">
        <f>$H$15&amp;".P"&amp;M$21&amp;"; Dept.Dept NOT IN ("&amp;Control!$G$17&amp;")"</f>
        <v>CYF2020.P3; Dept.Dept NOT IN (0)</v>
      </c>
      <c r="N3" s="105" t="str">
        <f>$H$15&amp;".P"&amp;N$21&amp;"; Dept.Dept NOT IN ("&amp;Control!$G$17&amp;")"</f>
        <v>CYF2020.P4; Dept.Dept NOT IN (0)</v>
      </c>
      <c r="O3" s="105" t="str">
        <f>$H$15&amp;".P"&amp;O$21&amp;"; Dept.Dept NOT IN ("&amp;Control!$G$17&amp;")"</f>
        <v>CYF2020.P5; Dept.Dept NOT IN (0)</v>
      </c>
      <c r="P3" s="105" t="str">
        <f>$H$15&amp;".P"&amp;P$21&amp;"; Dept.Dept NOT IN ("&amp;Control!$G$17&amp;")"</f>
        <v>CYF2020.P6; Dept.Dept NOT IN (0)</v>
      </c>
      <c r="Q3" s="105" t="str">
        <f>$H$15&amp;".P"&amp;Q$21&amp;"; Dept.Dept NOT IN ("&amp;Control!$G$17&amp;")"</f>
        <v>CYF2020.P7; Dept.Dept NOT IN (0)</v>
      </c>
      <c r="R3" s="105" t="str">
        <f>$H$15&amp;".P"&amp;R$21&amp;"; Dept.Dept NOT IN ("&amp;Control!$G$17&amp;")"</f>
        <v>CYF2020.P8; Dept.Dept NOT IN (0)</v>
      </c>
      <c r="S3" s="105" t="str">
        <f>$H$15&amp;".P"&amp;S$21&amp;"; Dept.Dept NOT IN ("&amp;Control!$G$17&amp;")"</f>
        <v>CYF2020.P9; Dept.Dept NOT IN (0)</v>
      </c>
      <c r="T3" s="105" t="str">
        <f>$H$15&amp;".P"&amp;T$21&amp;"; Dept.Dept NOT IN ("&amp;Control!$G$17&amp;")"</f>
        <v>CYF2020.P10; Dept.Dept NOT IN (0)</v>
      </c>
      <c r="U3" s="105" t="str">
        <f>$H$15&amp;".P"&amp;U$21&amp;"; Dept.Dept NOT IN ("&amp;Control!$G$17&amp;")"</f>
        <v>CYF2020.P11; Dept.Dept NOT IN (0)</v>
      </c>
      <c r="V3" s="105" t="str">
        <f>$H$15&amp;".P"&amp;V$21&amp;"; Dept.Dept NOT IN ("&amp;Control!$G$17&amp;")"</f>
        <v>CYF2020.P12; Dept.Dept NOT IN (0)</v>
      </c>
      <c r="W3" s="105"/>
      <c r="X3" s="105"/>
      <c r="Y3" s="105" t="str">
        <f>H16&amp;".TOT"</f>
        <v>BUD2020.TOT</v>
      </c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64"/>
      <c r="AS3" s="164"/>
      <c r="AT3" s="164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</row>
    <row r="4" spans="1:63" ht="16.8">
      <c r="A4" s="105"/>
      <c r="B4" s="49"/>
      <c r="C4" s="49"/>
      <c r="D4" s="49"/>
      <c r="E4" s="49"/>
      <c r="F4" s="49"/>
      <c r="G4" s="50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 t="str">
        <f>""</f>
        <v/>
      </c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</row>
    <row r="5" spans="1:63" ht="16.8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 t="str">
        <f>H16&amp;".TOT"</f>
        <v>BUD2020.TOT</v>
      </c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65"/>
      <c r="AS5" s="165"/>
      <c r="AT5" s="165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</row>
    <row r="6" spans="1:63" ht="16.8">
      <c r="A6" s="105"/>
      <c r="B6" s="106"/>
      <c r="K6" s="49"/>
    </row>
    <row r="7" spans="1:63" ht="16.8">
      <c r="A7" s="105"/>
      <c r="B7" s="106"/>
      <c r="AB7" s="47" t="s">
        <v>511</v>
      </c>
      <c r="AC7" s="111" t="str">
        <f>IF(K$20="CYA","",$H$15&amp;"."&amp;$AB7&amp;AC$21)</f>
        <v/>
      </c>
      <c r="AD7" s="111" t="str">
        <f t="shared" ref="AD7:AN8" si="0">IF(L$20="CYA","",$H$15&amp;"."&amp;$AB7&amp;AD$21)</f>
        <v/>
      </c>
      <c r="AE7" s="111" t="str">
        <f t="shared" si="0"/>
        <v/>
      </c>
      <c r="AF7" s="111" t="str">
        <f t="shared" si="0"/>
        <v/>
      </c>
      <c r="AG7" s="111" t="str">
        <f t="shared" si="0"/>
        <v/>
      </c>
      <c r="AH7" s="111" t="str">
        <f t="shared" si="0"/>
        <v/>
      </c>
      <c r="AI7" s="111" t="str">
        <f t="shared" si="0"/>
        <v/>
      </c>
      <c r="AJ7" s="111" t="str">
        <f t="shared" si="0"/>
        <v/>
      </c>
      <c r="AK7" s="111" t="str">
        <f t="shared" si="0"/>
        <v>CYF2020.Pct9</v>
      </c>
      <c r="AL7" s="111" t="str">
        <f t="shared" si="0"/>
        <v>CYF2020.Pct10</v>
      </c>
      <c r="AM7" s="111" t="str">
        <f t="shared" si="0"/>
        <v>CYF2020.Pct11</v>
      </c>
      <c r="AN7" s="111" t="str">
        <f t="shared" si="0"/>
        <v>CYF2020.Pct12</v>
      </c>
    </row>
    <row r="8" spans="1:63" ht="16.8">
      <c r="A8" s="105"/>
      <c r="B8" s="106"/>
      <c r="AB8" s="47" t="s">
        <v>510</v>
      </c>
      <c r="AC8" s="111" t="str">
        <f>IF(K$20="CYA","",$H$15&amp;"."&amp;$AB8&amp;AC$21)</f>
        <v/>
      </c>
      <c r="AD8" s="111" t="str">
        <f t="shared" si="0"/>
        <v/>
      </c>
      <c r="AE8" s="111" t="str">
        <f t="shared" si="0"/>
        <v/>
      </c>
      <c r="AF8" s="111" t="str">
        <f t="shared" si="0"/>
        <v/>
      </c>
      <c r="AG8" s="111" t="str">
        <f t="shared" si="0"/>
        <v/>
      </c>
      <c r="AH8" s="111" t="str">
        <f t="shared" si="0"/>
        <v/>
      </c>
      <c r="AI8" s="111" t="str">
        <f t="shared" si="0"/>
        <v/>
      </c>
      <c r="AJ8" s="111" t="str">
        <f t="shared" si="0"/>
        <v/>
      </c>
      <c r="AK8" s="111" t="str">
        <f t="shared" si="0"/>
        <v>CYF2020.Adj9</v>
      </c>
      <c r="AL8" s="111" t="str">
        <f t="shared" si="0"/>
        <v>CYF2020.Adj10</v>
      </c>
      <c r="AM8" s="111" t="str">
        <f t="shared" si="0"/>
        <v>CYF2020.Adj11</v>
      </c>
      <c r="AN8" s="111" t="str">
        <f t="shared" si="0"/>
        <v>CYF2020.Adj12</v>
      </c>
    </row>
    <row r="9" spans="1:63" ht="16.8">
      <c r="A9" s="105"/>
      <c r="B9" s="106"/>
      <c r="D9" s="110" t="s">
        <v>384</v>
      </c>
      <c r="E9" s="110"/>
      <c r="F9" s="110"/>
      <c r="G9" s="110"/>
      <c r="H9" s="110"/>
      <c r="I9" s="110"/>
      <c r="J9" s="110"/>
      <c r="K9" s="110" t="str">
        <f>H12</f>
        <v>[Copy;BK;1]</v>
      </c>
      <c r="L9" s="110" t="str">
        <f t="shared" ref="L9:V9" si="1">IF(L21&lt;=$H$20,$H$12,$H$13)</f>
        <v>[Copy;BK;1]</v>
      </c>
      <c r="M9" s="110" t="str">
        <f t="shared" si="1"/>
        <v>[Copy;BK;1]</v>
      </c>
      <c r="N9" s="110" t="str">
        <f t="shared" si="1"/>
        <v>[Copy;BK;1]</v>
      </c>
      <c r="O9" s="110" t="str">
        <f t="shared" si="1"/>
        <v>[Copy;BK;1]</v>
      </c>
      <c r="P9" s="110" t="str">
        <f t="shared" si="1"/>
        <v>[Copy;BK;1]</v>
      </c>
      <c r="Q9" s="110" t="str">
        <f t="shared" si="1"/>
        <v>[Copy;BK;1]</v>
      </c>
      <c r="R9" s="110" t="str">
        <f t="shared" si="1"/>
        <v>[Copy;BK;1]</v>
      </c>
      <c r="S9" s="110" t="str">
        <f t="shared" si="1"/>
        <v>[Copy;BJ;1]</v>
      </c>
      <c r="T9" s="110" t="str">
        <f t="shared" si="1"/>
        <v>[Copy;BJ;1]</v>
      </c>
      <c r="U9" s="110" t="str">
        <f t="shared" si="1"/>
        <v>[Copy;BJ;1]</v>
      </c>
      <c r="V9" s="110" t="str">
        <f t="shared" si="1"/>
        <v>[Copy;BJ;1]</v>
      </c>
      <c r="W9" s="110"/>
    </row>
    <row r="10" spans="1:63" ht="16.8">
      <c r="A10" s="105"/>
      <c r="B10" s="106"/>
      <c r="D10" s="110"/>
      <c r="E10" s="55"/>
      <c r="AO10" s="108" t="s">
        <v>377</v>
      </c>
      <c r="AP10" s="108"/>
      <c r="AQ10" s="108"/>
      <c r="AR10" s="166"/>
      <c r="AS10" s="166"/>
      <c r="AT10" s="166"/>
      <c r="AU10" s="108" t="s">
        <v>378</v>
      </c>
      <c r="AV10" s="108" t="s">
        <v>378</v>
      </c>
      <c r="AW10" s="108" t="s">
        <v>378</v>
      </c>
      <c r="AX10" s="108" t="s">
        <v>378</v>
      </c>
      <c r="AY10" s="108" t="s">
        <v>378</v>
      </c>
      <c r="AZ10" s="108" t="s">
        <v>378</v>
      </c>
      <c r="BA10" s="108" t="s">
        <v>378</v>
      </c>
      <c r="BB10" s="108" t="s">
        <v>378</v>
      </c>
      <c r="BC10" s="108" t="s">
        <v>378</v>
      </c>
      <c r="BD10" s="108" t="s">
        <v>378</v>
      </c>
      <c r="BE10" s="108" t="s">
        <v>378</v>
      </c>
      <c r="BF10" s="108" t="s">
        <v>378</v>
      </c>
      <c r="BG10" s="108" t="s">
        <v>378</v>
      </c>
      <c r="BH10" s="108" t="s">
        <v>378</v>
      </c>
      <c r="BI10" s="108" t="s">
        <v>378</v>
      </c>
      <c r="BJ10" s="108" t="s">
        <v>378</v>
      </c>
      <c r="BK10" s="108" t="s">
        <v>378</v>
      </c>
    </row>
    <row r="11" spans="1:63" ht="16.8">
      <c r="A11" s="105"/>
      <c r="B11" s="106"/>
      <c r="D11" s="110"/>
      <c r="E11" s="55"/>
    </row>
    <row r="12" spans="1:63" ht="16.8">
      <c r="A12" s="105"/>
      <c r="B12" s="106"/>
      <c r="D12" s="110"/>
      <c r="G12" s="110" t="s">
        <v>412</v>
      </c>
      <c r="H12" s="110" t="str">
        <f>"[Copy;BK;1]"</f>
        <v>[Copy;BK;1]</v>
      </c>
      <c r="I12" s="110"/>
      <c r="J12" s="110"/>
      <c r="K12" s="110"/>
    </row>
    <row r="13" spans="1:63" ht="16.8">
      <c r="A13" s="105"/>
      <c r="B13" s="106"/>
      <c r="D13" s="110"/>
      <c r="G13" s="110" t="s">
        <v>413</v>
      </c>
      <c r="H13" s="110" t="str">
        <f>"[Copy;BJ;1]"</f>
        <v>[Copy;BJ;1]</v>
      </c>
      <c r="I13" s="110"/>
      <c r="J13" s="110"/>
      <c r="K13" s="110"/>
    </row>
    <row r="14" spans="1:63" ht="16.8">
      <c r="A14" s="105"/>
      <c r="B14" s="106"/>
      <c r="D14" s="110"/>
      <c r="G14" s="107" t="s">
        <v>324</v>
      </c>
      <c r="H14" s="107" t="str">
        <f>Variables!I27</f>
        <v>ACT2020</v>
      </c>
      <c r="I14" s="107"/>
      <c r="J14" s="107"/>
    </row>
    <row r="15" spans="1:63" ht="16.8">
      <c r="A15" s="105"/>
      <c r="B15" s="106"/>
      <c r="D15" s="110"/>
      <c r="G15" s="107" t="s">
        <v>322</v>
      </c>
      <c r="H15" s="107" t="str">
        <f>Variables!I28</f>
        <v>CYF2020</v>
      </c>
      <c r="I15" s="107"/>
      <c r="J15" s="107"/>
      <c r="K15" s="55"/>
      <c r="L15" s="55"/>
      <c r="M15" s="55"/>
      <c r="N15" s="55"/>
      <c r="O15" s="55"/>
      <c r="P15" s="55"/>
      <c r="Q15" s="55"/>
      <c r="R15" s="55"/>
    </row>
    <row r="16" spans="1:63" ht="16.8">
      <c r="A16" s="105"/>
      <c r="B16" s="106"/>
      <c r="D16" s="110"/>
      <c r="E16" s="48"/>
      <c r="G16" s="107" t="s">
        <v>325</v>
      </c>
      <c r="H16" s="107" t="str">
        <f>Variables!I29</f>
        <v>BUD2020</v>
      </c>
      <c r="I16" s="107"/>
      <c r="J16" s="107"/>
      <c r="K16" s="111">
        <f t="shared" ref="K16:T16" si="2">L16+1</f>
        <v>12</v>
      </c>
      <c r="L16" s="111">
        <f t="shared" si="2"/>
        <v>11</v>
      </c>
      <c r="M16" s="111">
        <f t="shared" si="2"/>
        <v>10</v>
      </c>
      <c r="N16" s="111">
        <f t="shared" si="2"/>
        <v>9</v>
      </c>
      <c r="O16" s="111">
        <f t="shared" si="2"/>
        <v>8</v>
      </c>
      <c r="P16" s="111">
        <f t="shared" si="2"/>
        <v>7</v>
      </c>
      <c r="Q16" s="111">
        <f t="shared" si="2"/>
        <v>6</v>
      </c>
      <c r="R16" s="111">
        <f t="shared" si="2"/>
        <v>5</v>
      </c>
      <c r="S16" s="111">
        <f t="shared" si="2"/>
        <v>4</v>
      </c>
      <c r="T16" s="111">
        <f t="shared" si="2"/>
        <v>3</v>
      </c>
      <c r="U16" s="111">
        <f>V16+1</f>
        <v>2</v>
      </c>
      <c r="V16" s="111">
        <v>1</v>
      </c>
      <c r="W16" s="111"/>
      <c r="X16" s="111"/>
      <c r="Y16" s="111"/>
    </row>
    <row r="17" spans="1:61" ht="16.8">
      <c r="A17" s="105"/>
      <c r="B17" s="106"/>
      <c r="D17" s="110"/>
      <c r="K17" s="111">
        <v>1</v>
      </c>
      <c r="L17" s="111">
        <f>+K17+1</f>
        <v>2</v>
      </c>
      <c r="M17" s="111">
        <f t="shared" ref="M17:V17" si="3">+L17+1</f>
        <v>3</v>
      </c>
      <c r="N17" s="111">
        <f t="shared" si="3"/>
        <v>4</v>
      </c>
      <c r="O17" s="111">
        <f t="shared" si="3"/>
        <v>5</v>
      </c>
      <c r="P17" s="111">
        <f t="shared" si="3"/>
        <v>6</v>
      </c>
      <c r="Q17" s="111">
        <f t="shared" si="3"/>
        <v>7</v>
      </c>
      <c r="R17" s="111">
        <f t="shared" si="3"/>
        <v>8</v>
      </c>
      <c r="S17" s="111">
        <f t="shared" si="3"/>
        <v>9</v>
      </c>
      <c r="T17" s="111">
        <f t="shared" si="3"/>
        <v>10</v>
      </c>
      <c r="U17" s="111">
        <f t="shared" si="3"/>
        <v>11</v>
      </c>
      <c r="V17" s="111">
        <f t="shared" si="3"/>
        <v>12</v>
      </c>
      <c r="W17" s="111"/>
      <c r="X17" s="111"/>
      <c r="Y17" s="111"/>
    </row>
    <row r="18" spans="1:61" ht="16.8">
      <c r="A18" s="105"/>
      <c r="B18" s="106"/>
      <c r="D18" s="110"/>
      <c r="F18" s="51"/>
      <c r="G18" s="52"/>
      <c r="H18" s="53"/>
      <c r="I18" s="53"/>
      <c r="J18" s="53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</row>
    <row r="19" spans="1:61" ht="16.8">
      <c r="A19" s="105"/>
      <c r="B19" s="106"/>
      <c r="D19" s="110"/>
      <c r="G19" s="47"/>
      <c r="H19" s="53"/>
      <c r="I19" s="53"/>
      <c r="J19" s="53"/>
      <c r="K19" s="111" cm="1">
        <f t="array" ref="K19">_xll.GetData("Period.CYFTE","Code = "&amp;K17)</f>
        <v>176.65753424657501</v>
      </c>
      <c r="L19" s="111" cm="1">
        <f t="array" ref="L19">_xll.GetData("Period.CYFTE","Code = "&amp;L17)</f>
        <v>176.65753424657501</v>
      </c>
      <c r="M19" s="111" cm="1">
        <f t="array" ref="M19">_xll.GetData("Period.CYFTE","Code = "&amp;M17)</f>
        <v>170.95890410958901</v>
      </c>
      <c r="N19" s="111" cm="1">
        <f t="array" ref="N19">_xll.GetData("Period.CYFTE","Code = "&amp;N17)</f>
        <v>176.65753424657501</v>
      </c>
      <c r="O19" s="111" cm="1">
        <f t="array" ref="O19">_xll.GetData("Period.CYFTE","Code = "&amp;O17)</f>
        <v>170.95890410958901</v>
      </c>
      <c r="P19" s="111" cm="1">
        <f t="array" ref="P19">_xll.GetData("Period.CYFTE","Code = "&amp;P17)</f>
        <v>176.65753424657501</v>
      </c>
      <c r="Q19" s="111" cm="1">
        <f t="array" ref="Q19">_xll.GetData("Period.CYFTE","Code = "&amp;Q17)</f>
        <v>176.65753424657501</v>
      </c>
      <c r="R19" s="111" cm="1">
        <f t="array" ref="R19">_xll.GetData("Period.CYFTE","Code = "&amp;R17)</f>
        <v>167.561643835616</v>
      </c>
      <c r="S19" s="111" cm="1">
        <f t="array" ref="S19">_xll.GetData("Period.CYFTE","Code = "&amp;S17)</f>
        <v>176.65753424657501</v>
      </c>
      <c r="T19" s="111" cm="1">
        <f t="array" ref="T19">_xll.GetData("Period.CYFTE","Code = "&amp;T17)</f>
        <v>170.95890410958901</v>
      </c>
      <c r="U19" s="111" cm="1">
        <f t="array" ref="U19">_xll.GetData("Period.CYFTE","Code = "&amp;U17)</f>
        <v>176.65753424657501</v>
      </c>
      <c r="V19" s="111" cm="1">
        <f t="array" ref="V19">_xll.GetData("Period.CYFTE","Code = "&amp;V17)</f>
        <v>170.95890410958901</v>
      </c>
      <c r="W19" s="111">
        <f>SUM(K19:V19)</f>
        <v>2087.9999999999973</v>
      </c>
      <c r="X19" s="111"/>
      <c r="Y19" s="111">
        <f>W19</f>
        <v>2087.9999999999973</v>
      </c>
      <c r="Z19" s="53"/>
      <c r="AA19" s="53"/>
      <c r="AB19" s="53"/>
      <c r="AC19" s="111">
        <f>K19</f>
        <v>176.65753424657501</v>
      </c>
      <c r="AD19" s="111">
        <f t="shared" ref="AD19:AN19" si="4">L19</f>
        <v>176.65753424657501</v>
      </c>
      <c r="AE19" s="111">
        <f t="shared" si="4"/>
        <v>170.95890410958901</v>
      </c>
      <c r="AF19" s="111">
        <f t="shared" si="4"/>
        <v>176.65753424657501</v>
      </c>
      <c r="AG19" s="111">
        <f t="shared" si="4"/>
        <v>170.95890410958901</v>
      </c>
      <c r="AH19" s="111">
        <f t="shared" si="4"/>
        <v>176.65753424657501</v>
      </c>
      <c r="AI19" s="111">
        <f t="shared" si="4"/>
        <v>176.65753424657501</v>
      </c>
      <c r="AJ19" s="111">
        <f t="shared" si="4"/>
        <v>167.561643835616</v>
      </c>
      <c r="AK19" s="111">
        <f t="shared" si="4"/>
        <v>176.65753424657501</v>
      </c>
      <c r="AL19" s="111">
        <f t="shared" si="4"/>
        <v>170.95890410958901</v>
      </c>
      <c r="AM19" s="111">
        <f t="shared" si="4"/>
        <v>176.65753424657501</v>
      </c>
      <c r="AN19" s="111">
        <f t="shared" si="4"/>
        <v>170.95890410958901</v>
      </c>
      <c r="AO19" s="53"/>
      <c r="AP19" s="53"/>
      <c r="AQ19" s="53"/>
      <c r="AR19" s="53"/>
      <c r="AS19" s="53"/>
      <c r="AT19" s="53"/>
      <c r="AU19" s="53"/>
      <c r="AV19" s="53"/>
      <c r="AW19" s="53"/>
      <c r="AX19" s="53"/>
    </row>
    <row r="20" spans="1:61" ht="16.8">
      <c r="A20" s="105"/>
      <c r="B20" s="106"/>
      <c r="D20" s="110"/>
      <c r="G20" s="111" t="s">
        <v>201</v>
      </c>
      <c r="H20" s="111">
        <f>Variables!I17</f>
        <v>8</v>
      </c>
      <c r="I20" s="111">
        <f>12-H20</f>
        <v>4</v>
      </c>
      <c r="J20" s="111"/>
      <c r="K20" s="111" t="str">
        <f>IF(K28,"CYA","CYF")</f>
        <v>CYA</v>
      </c>
      <c r="L20" s="111" t="str">
        <f t="shared" ref="L20:V20" si="5">IF(L28,"CYA","CYF")</f>
        <v>CYA</v>
      </c>
      <c r="M20" s="111" t="str">
        <f t="shared" si="5"/>
        <v>CYA</v>
      </c>
      <c r="N20" s="111" t="str">
        <f t="shared" si="5"/>
        <v>CYA</v>
      </c>
      <c r="O20" s="111" t="str">
        <f t="shared" si="5"/>
        <v>CYA</v>
      </c>
      <c r="P20" s="111" t="str">
        <f t="shared" si="5"/>
        <v>CYA</v>
      </c>
      <c r="Q20" s="111" t="str">
        <f t="shared" si="5"/>
        <v>CYA</v>
      </c>
      <c r="R20" s="111" t="str">
        <f t="shared" si="5"/>
        <v>CYA</v>
      </c>
      <c r="S20" s="111" t="str">
        <f t="shared" si="5"/>
        <v>CYF</v>
      </c>
      <c r="T20" s="111" t="str">
        <f t="shared" si="5"/>
        <v>CYF</v>
      </c>
      <c r="U20" s="111" t="str">
        <f t="shared" si="5"/>
        <v>CYF</v>
      </c>
      <c r="V20" s="111" t="str">
        <f t="shared" si="5"/>
        <v>CYF</v>
      </c>
      <c r="W20" s="111"/>
      <c r="X20" s="111"/>
      <c r="Y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</row>
    <row r="21" spans="1:61" ht="16.8">
      <c r="A21" s="105"/>
      <c r="B21" s="106"/>
      <c r="C21" s="48"/>
      <c r="D21" s="110"/>
      <c r="G21" s="111" t="s">
        <v>260</v>
      </c>
      <c r="H21" s="111"/>
      <c r="I21" s="111"/>
      <c r="J21" s="111"/>
      <c r="K21" s="111">
        <v>1</v>
      </c>
      <c r="L21" s="111">
        <v>2</v>
      </c>
      <c r="M21" s="111">
        <v>3</v>
      </c>
      <c r="N21" s="111">
        <v>4</v>
      </c>
      <c r="O21" s="111">
        <v>5</v>
      </c>
      <c r="P21" s="111">
        <v>6</v>
      </c>
      <c r="Q21" s="111">
        <v>7</v>
      </c>
      <c r="R21" s="111">
        <v>8</v>
      </c>
      <c r="S21" s="111">
        <v>9</v>
      </c>
      <c r="T21" s="111">
        <v>10</v>
      </c>
      <c r="U21" s="111">
        <v>11</v>
      </c>
      <c r="V21" s="111">
        <v>12</v>
      </c>
      <c r="W21" s="111"/>
      <c r="X21" s="111"/>
      <c r="Y21" s="111"/>
      <c r="AC21" s="111">
        <v>1</v>
      </c>
      <c r="AD21" s="111">
        <v>2</v>
      </c>
      <c r="AE21" s="111">
        <v>3</v>
      </c>
      <c r="AF21" s="111">
        <v>4</v>
      </c>
      <c r="AG21" s="111">
        <v>5</v>
      </c>
      <c r="AH21" s="111">
        <v>6</v>
      </c>
      <c r="AI21" s="111">
        <v>7</v>
      </c>
      <c r="AJ21" s="111">
        <v>8</v>
      </c>
      <c r="AK21" s="111">
        <v>9</v>
      </c>
      <c r="AL21" s="111">
        <v>10</v>
      </c>
      <c r="AM21" s="111">
        <v>11</v>
      </c>
      <c r="AN21" s="111">
        <v>12</v>
      </c>
    </row>
    <row r="22" spans="1:61" ht="16.8">
      <c r="A22" s="105"/>
      <c r="B22" s="106"/>
      <c r="C22" s="48"/>
      <c r="D22" s="110"/>
      <c r="G22" s="111" t="s">
        <v>261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</row>
    <row r="23" spans="1:61" ht="16.8">
      <c r="A23" s="105"/>
      <c r="B23" s="106"/>
      <c r="C23" s="48"/>
      <c r="D23" s="110"/>
      <c r="G23" s="111" t="s">
        <v>262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</row>
    <row r="24" spans="1:61" ht="16.8">
      <c r="A24" s="105"/>
      <c r="B24" s="106"/>
      <c r="C24" s="48"/>
      <c r="D24" s="110"/>
      <c r="G24" s="111" t="s">
        <v>263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</row>
    <row r="25" spans="1:61" ht="16.8">
      <c r="A25" s="105"/>
      <c r="B25" s="106"/>
      <c r="C25" s="48"/>
      <c r="D25" s="110"/>
      <c r="G25" s="111" t="s">
        <v>264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</row>
    <row r="26" spans="1:61" ht="16.8">
      <c r="A26" s="105"/>
      <c r="B26" s="106"/>
      <c r="C26" s="48"/>
      <c r="D26" s="110"/>
      <c r="G26" s="111" t="s">
        <v>265</v>
      </c>
      <c r="H26" s="111"/>
      <c r="I26" s="111"/>
      <c r="J26" s="111"/>
      <c r="K26" s="111" cm="1">
        <f t="array" ref="K26">_xll.GetData("Period.CYDays","Code = "&amp;K21)</f>
        <v>31</v>
      </c>
      <c r="L26" s="111" cm="1">
        <f t="array" ref="L26">_xll.GetData("Period.CYDays","Code = "&amp;L21)</f>
        <v>31</v>
      </c>
      <c r="M26" s="111" cm="1">
        <f t="array" ref="M26">_xll.GetData("Period.CYDays","Code = "&amp;M21)</f>
        <v>30</v>
      </c>
      <c r="N26" s="111" cm="1">
        <f t="array" ref="N26">_xll.GetData("Period.CYDays","Code = "&amp;N21)</f>
        <v>31</v>
      </c>
      <c r="O26" s="111" cm="1">
        <f t="array" ref="O26">_xll.GetData("Period.CYDays","Code = "&amp;O21)</f>
        <v>30</v>
      </c>
      <c r="P26" s="111" cm="1">
        <f t="array" ref="P26">_xll.GetData("Period.CYDays","Code = "&amp;P21)</f>
        <v>31</v>
      </c>
      <c r="Q26" s="111" cm="1">
        <f t="array" ref="Q26">_xll.GetData("Period.CYDays","Code = "&amp;Q21)</f>
        <v>31</v>
      </c>
      <c r="R26" s="111" cm="1">
        <f t="array" ref="R26">_xll.GetData("Period.CYDays","Code = "&amp;R21)</f>
        <v>29</v>
      </c>
      <c r="S26" s="111" cm="1">
        <f t="array" ref="S26">_xll.GetData("Period.CYDays","Code = "&amp;S21)</f>
        <v>31</v>
      </c>
      <c r="T26" s="111" cm="1">
        <f t="array" ref="T26">_xll.GetData("Period.CYDays","Code = "&amp;T21)</f>
        <v>30</v>
      </c>
      <c r="U26" s="111" cm="1">
        <f t="array" ref="U26">_xll.GetData("Period.CYDays","Code = "&amp;U21)</f>
        <v>31</v>
      </c>
      <c r="V26" s="111" cm="1">
        <f t="array" ref="V26">_xll.GetData("Period.CYDays","Code = "&amp;V21)</f>
        <v>30</v>
      </c>
      <c r="W26" s="111">
        <f>SUM(K26:V26)</f>
        <v>366</v>
      </c>
      <c r="X26" s="111"/>
      <c r="Y26" s="111">
        <f>W26</f>
        <v>366</v>
      </c>
      <c r="AC26" s="111">
        <f>K26</f>
        <v>31</v>
      </c>
      <c r="AD26" s="111">
        <f t="shared" ref="AD26:AN26" si="6">L26</f>
        <v>31</v>
      </c>
      <c r="AE26" s="111">
        <f t="shared" si="6"/>
        <v>30</v>
      </c>
      <c r="AF26" s="111">
        <f t="shared" si="6"/>
        <v>31</v>
      </c>
      <c r="AG26" s="111">
        <f t="shared" si="6"/>
        <v>30</v>
      </c>
      <c r="AH26" s="111">
        <f t="shared" si="6"/>
        <v>31</v>
      </c>
      <c r="AI26" s="111">
        <f t="shared" si="6"/>
        <v>31</v>
      </c>
      <c r="AJ26" s="111">
        <f t="shared" si="6"/>
        <v>29</v>
      </c>
      <c r="AK26" s="111">
        <f t="shared" si="6"/>
        <v>31</v>
      </c>
      <c r="AL26" s="111">
        <f t="shared" si="6"/>
        <v>30</v>
      </c>
      <c r="AM26" s="111">
        <f t="shared" si="6"/>
        <v>31</v>
      </c>
      <c r="AN26" s="111">
        <f t="shared" si="6"/>
        <v>30</v>
      </c>
    </row>
    <row r="27" spans="1:61" ht="16.8">
      <c r="A27" s="105"/>
      <c r="B27" s="106"/>
      <c r="C27" s="56"/>
      <c r="D27" s="110"/>
      <c r="E27" s="55"/>
      <c r="F27" s="55"/>
      <c r="G27" s="111" t="s">
        <v>417</v>
      </c>
      <c r="H27" s="111"/>
      <c r="I27" s="111"/>
      <c r="J27" s="111"/>
      <c r="K27" s="111" t="s">
        <v>493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</row>
    <row r="28" spans="1:61" ht="16.8">
      <c r="A28" s="105"/>
      <c r="B28" s="106"/>
      <c r="C28" s="55"/>
      <c r="D28" s="110"/>
      <c r="E28" s="55"/>
      <c r="F28" s="58"/>
      <c r="G28" s="111" t="s">
        <v>301</v>
      </c>
      <c r="H28" s="111"/>
      <c r="I28" s="111"/>
      <c r="J28" s="111"/>
      <c r="K28" s="111" t="b">
        <f t="shared" ref="K28:V28" si="7">K$21&lt;=$H$20</f>
        <v>1</v>
      </c>
      <c r="L28" s="111" t="b">
        <f t="shared" si="7"/>
        <v>1</v>
      </c>
      <c r="M28" s="111" t="b">
        <f t="shared" si="7"/>
        <v>1</v>
      </c>
      <c r="N28" s="111" t="b">
        <f t="shared" si="7"/>
        <v>1</v>
      </c>
      <c r="O28" s="111" t="b">
        <f t="shared" si="7"/>
        <v>1</v>
      </c>
      <c r="P28" s="111" t="b">
        <f t="shared" si="7"/>
        <v>1</v>
      </c>
      <c r="Q28" s="111" t="b">
        <f t="shared" si="7"/>
        <v>1</v>
      </c>
      <c r="R28" s="111" t="b">
        <f t="shared" si="7"/>
        <v>1</v>
      </c>
      <c r="S28" s="111" t="b">
        <f t="shared" si="7"/>
        <v>0</v>
      </c>
      <c r="T28" s="111" t="b">
        <f t="shared" si="7"/>
        <v>0</v>
      </c>
      <c r="U28" s="111" t="b">
        <f t="shared" si="7"/>
        <v>0</v>
      </c>
      <c r="V28" s="111" t="b">
        <f t="shared" si="7"/>
        <v>0</v>
      </c>
      <c r="W28" s="111"/>
      <c r="X28" s="111"/>
      <c r="Y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</row>
    <row r="29" spans="1:61" ht="16.8">
      <c r="A29" s="105"/>
      <c r="B29" s="106"/>
      <c r="C29" s="55"/>
      <c r="D29" s="110"/>
      <c r="E29" s="55"/>
      <c r="F29" s="58"/>
      <c r="G29" s="111" t="s">
        <v>415</v>
      </c>
      <c r="H29" s="111"/>
      <c r="I29" s="111"/>
      <c r="J29" s="111" t="s">
        <v>416</v>
      </c>
      <c r="K29" s="111" t="str">
        <f>K27&amp;IF(Control!O12="",""," AND "&amp;Control!O12)</f>
        <v>ACCT.Statement.STATEMENT IN ('HoursJC', 'Hours', 'IS')</v>
      </c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</row>
    <row r="30" spans="1:61" s="276" customFormat="1" ht="16.8">
      <c r="A30" s="271"/>
      <c r="B30" s="272"/>
      <c r="C30" s="273"/>
      <c r="D30" s="274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5" t="str">
        <f>"[Save2DB;"&amp;$H$15&amp;"]"</f>
        <v>[Save2DB;CYF2020]</v>
      </c>
      <c r="AS30" s="275"/>
      <c r="AT30" s="275"/>
      <c r="AU30" s="273" t="s">
        <v>212</v>
      </c>
      <c r="AV30" s="273" t="s">
        <v>216</v>
      </c>
      <c r="AW30" s="273" t="s">
        <v>380</v>
      </c>
      <c r="AX30" s="273" t="s">
        <v>543</v>
      </c>
      <c r="AY30" s="273" t="s">
        <v>545</v>
      </c>
      <c r="AZ30" s="273" t="s">
        <v>547</v>
      </c>
      <c r="BA30" s="273" t="s">
        <v>548</v>
      </c>
      <c r="BB30" s="273" t="s">
        <v>549</v>
      </c>
      <c r="BC30" s="273" t="s">
        <v>550</v>
      </c>
      <c r="BD30" s="273" t="s">
        <v>551</v>
      </c>
      <c r="BE30" s="273" t="s">
        <v>552</v>
      </c>
      <c r="BF30" s="273" t="s">
        <v>553</v>
      </c>
      <c r="BG30" s="273" t="s">
        <v>554</v>
      </c>
      <c r="BH30" s="273" t="s">
        <v>555</v>
      </c>
      <c r="BI30" s="273" t="s">
        <v>556</v>
      </c>
    </row>
    <row r="31" spans="1:61" s="276" customFormat="1" ht="16.8">
      <c r="A31" s="271"/>
      <c r="B31" s="272"/>
      <c r="C31" s="273"/>
      <c r="D31" s="274"/>
      <c r="E31" s="273"/>
      <c r="F31" s="277"/>
      <c r="G31" s="278"/>
      <c r="AR31" s="275"/>
      <c r="AS31" s="275" t="str">
        <f>"[Save2DB;"&amp;$H$15&amp;"]"</f>
        <v>[Save2DB;CYF2020]</v>
      </c>
      <c r="AT31" s="275"/>
      <c r="AU31" s="273" t="s">
        <v>212</v>
      </c>
      <c r="AV31" s="273" t="s">
        <v>216</v>
      </c>
      <c r="AW31" s="273" t="s">
        <v>380</v>
      </c>
      <c r="AX31" s="273" t="s">
        <v>544</v>
      </c>
      <c r="AY31" s="273" t="s">
        <v>546</v>
      </c>
      <c r="AZ31" s="273" t="s">
        <v>557</v>
      </c>
      <c r="BA31" s="273" t="s">
        <v>558</v>
      </c>
      <c r="BB31" s="273" t="s">
        <v>559</v>
      </c>
      <c r="BC31" s="273" t="s">
        <v>560</v>
      </c>
      <c r="BD31" s="273" t="s">
        <v>561</v>
      </c>
      <c r="BE31" s="273" t="s">
        <v>562</v>
      </c>
      <c r="BF31" s="273" t="s">
        <v>563</v>
      </c>
      <c r="BG31" s="273" t="s">
        <v>564</v>
      </c>
      <c r="BH31" s="273" t="s">
        <v>565</v>
      </c>
      <c r="BI31" s="273" t="s">
        <v>566</v>
      </c>
    </row>
    <row r="32" spans="1:61" s="276" customFormat="1" ht="16.8">
      <c r="A32" s="271"/>
      <c r="B32" s="272"/>
      <c r="C32" s="273"/>
      <c r="D32" s="274"/>
      <c r="E32" s="273"/>
      <c r="F32" s="277"/>
      <c r="G32" s="278"/>
      <c r="AR32" s="275"/>
      <c r="AS32" s="275"/>
      <c r="AT32" s="275" t="str">
        <f>"[Save2DB;"&amp;$H$15&amp;"]"</f>
        <v>[Save2DB;CYF2020]</v>
      </c>
      <c r="AU32" s="273" t="s">
        <v>212</v>
      </c>
      <c r="AV32" s="273" t="s">
        <v>216</v>
      </c>
      <c r="AW32" s="273" t="s">
        <v>380</v>
      </c>
      <c r="AX32" s="273" t="s">
        <v>362</v>
      </c>
      <c r="AY32" s="273" t="s">
        <v>363</v>
      </c>
      <c r="AZ32" s="273" t="s">
        <v>364</v>
      </c>
      <c r="BA32" s="273" t="s">
        <v>365</v>
      </c>
      <c r="BB32" s="273" t="s">
        <v>366</v>
      </c>
      <c r="BC32" s="273" t="s">
        <v>367</v>
      </c>
      <c r="BD32" s="273" t="s">
        <v>368</v>
      </c>
      <c r="BE32" s="273" t="s">
        <v>369</v>
      </c>
      <c r="BF32" s="273" t="s">
        <v>370</v>
      </c>
      <c r="BG32" s="273" t="s">
        <v>371</v>
      </c>
      <c r="BH32" s="273" t="s">
        <v>372</v>
      </c>
      <c r="BI32" s="273" t="s">
        <v>373</v>
      </c>
    </row>
    <row r="33" spans="1:63" s="55" customFormat="1" ht="16.8">
      <c r="A33" s="105"/>
      <c r="B33" s="106"/>
      <c r="C33" s="112"/>
      <c r="D33" s="110"/>
      <c r="E33" s="112"/>
      <c r="F33" s="58"/>
      <c r="G33" s="57"/>
      <c r="AR33" s="167"/>
      <c r="AS33" s="167"/>
      <c r="AT33" s="167"/>
    </row>
    <row r="34" spans="1:63" s="46" customFormat="1" ht="32.4">
      <c r="A34" s="105"/>
      <c r="B34" s="106"/>
      <c r="C34" s="112"/>
      <c r="D34" s="110"/>
      <c r="E34" s="112"/>
      <c r="G34" s="119" t="s">
        <v>314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50"/>
      <c r="AP34" s="50"/>
      <c r="AQ34" s="50"/>
      <c r="AR34" s="167"/>
      <c r="AS34" s="167"/>
      <c r="AT34" s="167"/>
      <c r="AU34" s="50"/>
      <c r="AV34" s="50"/>
      <c r="AW34" s="50"/>
      <c r="AX34" s="50"/>
    </row>
    <row r="35" spans="1:63" s="46" customFormat="1" ht="19.2">
      <c r="A35" s="105"/>
      <c r="B35" s="106"/>
      <c r="C35" s="112"/>
      <c r="D35" s="110"/>
      <c r="E35" s="112"/>
      <c r="G35" s="92" t="str">
        <f>Variables!$I$21</f>
        <v>KHA Health</v>
      </c>
      <c r="H35" s="92"/>
      <c r="I35" s="92"/>
      <c r="J35" s="92"/>
      <c r="K35" s="50"/>
      <c r="L35" s="50"/>
      <c r="M35" s="62"/>
      <c r="N35" s="50"/>
      <c r="O35" s="50"/>
      <c r="P35" s="50"/>
      <c r="Q35" s="50"/>
      <c r="R35" s="50"/>
      <c r="S35" s="50"/>
      <c r="T35" s="50"/>
      <c r="U35" s="60"/>
      <c r="V35" s="6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167"/>
      <c r="AS35" s="167"/>
      <c r="AT35" s="167"/>
      <c r="AU35" s="279" t="s">
        <v>315</v>
      </c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</row>
    <row r="36" spans="1:63" s="46" customFormat="1" ht="19.2">
      <c r="A36" s="105"/>
      <c r="B36" s="106"/>
      <c r="C36" s="112"/>
      <c r="D36" s="110"/>
      <c r="E36" s="112"/>
      <c r="G36" s="92" t="str">
        <f>+Summary!E20</f>
        <v>For The Period Ending February 2020</v>
      </c>
      <c r="H36" s="92"/>
      <c r="I36" s="92"/>
      <c r="J36" s="92"/>
      <c r="K36" s="93" t="str">
        <f t="shared" ref="K36:V36" si="8">IF(K28,"Actual","Forecast")</f>
        <v>Actual</v>
      </c>
      <c r="L36" s="93" t="str">
        <f t="shared" si="8"/>
        <v>Actual</v>
      </c>
      <c r="M36" s="93" t="str">
        <f t="shared" si="8"/>
        <v>Actual</v>
      </c>
      <c r="N36" s="93" t="str">
        <f t="shared" si="8"/>
        <v>Actual</v>
      </c>
      <c r="O36" s="93" t="str">
        <f t="shared" si="8"/>
        <v>Actual</v>
      </c>
      <c r="P36" s="93" t="str">
        <f t="shared" si="8"/>
        <v>Actual</v>
      </c>
      <c r="Q36" s="93" t="str">
        <f t="shared" si="8"/>
        <v>Actual</v>
      </c>
      <c r="R36" s="93" t="str">
        <f t="shared" si="8"/>
        <v>Actual</v>
      </c>
      <c r="S36" s="93" t="str">
        <f t="shared" si="8"/>
        <v>Forecast</v>
      </c>
      <c r="T36" s="93" t="str">
        <f t="shared" si="8"/>
        <v>Forecast</v>
      </c>
      <c r="U36" s="93" t="str">
        <f t="shared" si="8"/>
        <v>Forecast</v>
      </c>
      <c r="V36" s="93" t="str">
        <f t="shared" si="8"/>
        <v>Forecast</v>
      </c>
      <c r="W36" s="93" t="str">
        <f>+"FY"&amp;Variables!I18</f>
        <v>FY2020</v>
      </c>
      <c r="X36" s="55"/>
      <c r="Y36" s="93" t="str">
        <f>W36</f>
        <v>FY2020</v>
      </c>
      <c r="Z36" s="93" t="s">
        <v>316</v>
      </c>
      <c r="AA36" s="93" t="s">
        <v>316</v>
      </c>
      <c r="AB36" s="59"/>
      <c r="AC36" s="93" t="s">
        <v>423</v>
      </c>
      <c r="AD36" s="93" t="s">
        <v>423</v>
      </c>
      <c r="AE36" s="93" t="s">
        <v>423</v>
      </c>
      <c r="AF36" s="93" t="s">
        <v>423</v>
      </c>
      <c r="AG36" s="93" t="s">
        <v>423</v>
      </c>
      <c r="AH36" s="93" t="s">
        <v>423</v>
      </c>
      <c r="AI36" s="93" t="s">
        <v>423</v>
      </c>
      <c r="AJ36" s="93" t="s">
        <v>423</v>
      </c>
      <c r="AK36" s="93" t="s">
        <v>423</v>
      </c>
      <c r="AL36" s="93" t="s">
        <v>423</v>
      </c>
      <c r="AM36" s="93" t="s">
        <v>423</v>
      </c>
      <c r="AN36" s="93" t="s">
        <v>423</v>
      </c>
      <c r="AO36" s="63"/>
      <c r="AP36" s="286" t="s">
        <v>575</v>
      </c>
      <c r="AQ36" s="111"/>
      <c r="AR36" s="282" t="s">
        <v>567</v>
      </c>
      <c r="AS36" s="282" t="s">
        <v>567</v>
      </c>
      <c r="AT36" s="282" t="s">
        <v>567</v>
      </c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</row>
    <row r="37" spans="1:63" s="46" customFormat="1" ht="19.2">
      <c r="A37" s="105"/>
      <c r="B37" s="106"/>
      <c r="C37" s="112"/>
      <c r="D37" s="110"/>
      <c r="E37" s="112"/>
      <c r="F37" s="92"/>
      <c r="G37" s="92" t="str">
        <f>IF(Control!O12=0,"Consolidated",Control!O12)</f>
        <v/>
      </c>
      <c r="H37" s="92"/>
      <c r="I37" s="92"/>
      <c r="J37" s="92"/>
      <c r="K37" s="93" t="str" cm="1">
        <f t="array" ref="K37">_xll.GetData("Period.CY_Month","Code = "&amp;K17)</f>
        <v>Jul-2019</v>
      </c>
      <c r="L37" s="93" t="str" cm="1">
        <f t="array" ref="L37">_xll.GetData("Period.CY_Month","Code = "&amp;L17)</f>
        <v>Aug-2019</v>
      </c>
      <c r="M37" s="93" t="str" cm="1">
        <f t="array" ref="M37">_xll.GetData("Period.CY_Month","Code = "&amp;M17)</f>
        <v>Sep-2019</v>
      </c>
      <c r="N37" s="93" t="str" cm="1">
        <f t="array" ref="N37">_xll.GetData("Period.CY_Month","Code = "&amp;N17)</f>
        <v>Oct-2019</v>
      </c>
      <c r="O37" s="93" t="str" cm="1">
        <f t="array" ref="O37">_xll.GetData("Period.CY_Month","Code = "&amp;O17)</f>
        <v>Nov-2019</v>
      </c>
      <c r="P37" s="93" t="str" cm="1">
        <f t="array" ref="P37">_xll.GetData("Period.CY_Month","Code = "&amp;P17)</f>
        <v>Dec-2019</v>
      </c>
      <c r="Q37" s="93" t="str" cm="1">
        <f t="array" ref="Q37">_xll.GetData("Period.CY_Month","Code = "&amp;Q17)</f>
        <v>Jan-2020</v>
      </c>
      <c r="R37" s="93" t="str" cm="1">
        <f t="array" ref="R37">_xll.GetData("Period.CY_Month","Code = "&amp;R17)</f>
        <v>Feb-2020</v>
      </c>
      <c r="S37" s="93" t="str" cm="1">
        <f t="array" ref="S37">_xll.GetData("Period.CY_Month","Code = "&amp;S17)</f>
        <v>Mar-2020</v>
      </c>
      <c r="T37" s="93" t="str" cm="1">
        <f t="array" ref="T37">_xll.GetData("Period.CY_Month","Code = "&amp;T17)</f>
        <v>Apr-2020</v>
      </c>
      <c r="U37" s="93" t="str" cm="1">
        <f t="array" ref="U37">_xll.GetData("Period.CY_Month","Code = "&amp;U17)</f>
        <v>May-2020</v>
      </c>
      <c r="V37" s="93" t="str" cm="1">
        <f t="array" ref="V37">_xll.GetData("Period.CY_Month","Code = "&amp;V17)</f>
        <v>Jun-2020</v>
      </c>
      <c r="W37" s="93" t="s">
        <v>211</v>
      </c>
      <c r="X37" s="55"/>
      <c r="Y37" s="93" t="s">
        <v>208</v>
      </c>
      <c r="Z37" s="93" t="s">
        <v>209</v>
      </c>
      <c r="AA37" s="93" t="s">
        <v>210</v>
      </c>
      <c r="AB37" s="59"/>
      <c r="AC37" s="93" t="str">
        <f>K37</f>
        <v>Jul-2019</v>
      </c>
      <c r="AD37" s="93" t="str">
        <f t="shared" ref="AD37:AN37" si="9">L37</f>
        <v>Aug-2019</v>
      </c>
      <c r="AE37" s="93" t="str">
        <f t="shared" si="9"/>
        <v>Sep-2019</v>
      </c>
      <c r="AF37" s="93" t="str">
        <f t="shared" si="9"/>
        <v>Oct-2019</v>
      </c>
      <c r="AG37" s="93" t="str">
        <f t="shared" si="9"/>
        <v>Nov-2019</v>
      </c>
      <c r="AH37" s="93" t="str">
        <f t="shared" si="9"/>
        <v>Dec-2019</v>
      </c>
      <c r="AI37" s="93" t="str">
        <f t="shared" si="9"/>
        <v>Jan-2020</v>
      </c>
      <c r="AJ37" s="93" t="str">
        <f t="shared" si="9"/>
        <v>Feb-2020</v>
      </c>
      <c r="AK37" s="93" t="str">
        <f t="shared" si="9"/>
        <v>Mar-2020</v>
      </c>
      <c r="AL37" s="93" t="str">
        <f t="shared" si="9"/>
        <v>Apr-2020</v>
      </c>
      <c r="AM37" s="93" t="str">
        <f t="shared" si="9"/>
        <v>May-2020</v>
      </c>
      <c r="AN37" s="93" t="str">
        <f t="shared" si="9"/>
        <v>Jun-2020</v>
      </c>
      <c r="AO37" s="50"/>
      <c r="AP37" s="286" t="s">
        <v>576</v>
      </c>
      <c r="AQ37" s="111" t="s">
        <v>574</v>
      </c>
      <c r="AR37" s="282" t="s">
        <v>568</v>
      </c>
      <c r="AS37" s="282" t="s">
        <v>569</v>
      </c>
      <c r="AT37" s="282" t="s">
        <v>316</v>
      </c>
      <c r="AU37" s="279" t="s">
        <v>212</v>
      </c>
      <c r="AV37" s="279" t="s">
        <v>216</v>
      </c>
      <c r="AW37" s="279" t="s">
        <v>380</v>
      </c>
      <c r="AX37" s="279" t="s">
        <v>302</v>
      </c>
      <c r="AY37" s="279" t="s">
        <v>303</v>
      </c>
      <c r="AZ37" s="279" t="s">
        <v>304</v>
      </c>
      <c r="BA37" s="279" t="s">
        <v>305</v>
      </c>
      <c r="BB37" s="279" t="s">
        <v>306</v>
      </c>
      <c r="BC37" s="279" t="s">
        <v>307</v>
      </c>
      <c r="BD37" s="279" t="s">
        <v>308</v>
      </c>
      <c r="BE37" s="279" t="s">
        <v>309</v>
      </c>
      <c r="BF37" s="279" t="s">
        <v>310</v>
      </c>
      <c r="BG37" s="279" t="s">
        <v>311</v>
      </c>
      <c r="BH37" s="279" t="s">
        <v>312</v>
      </c>
      <c r="BI37" s="279" t="s">
        <v>313</v>
      </c>
    </row>
    <row r="38" spans="1:63" ht="19.2">
      <c r="A38" s="105"/>
      <c r="B38" s="106"/>
      <c r="C38" s="112"/>
      <c r="D38" s="110"/>
      <c r="E38" s="112"/>
      <c r="F38" s="58"/>
      <c r="G38" s="65"/>
      <c r="H38" s="92"/>
      <c r="I38" s="92"/>
      <c r="J38" s="92"/>
      <c r="K38" s="96"/>
      <c r="L38" s="96"/>
      <c r="M38" s="96"/>
      <c r="N38" s="96"/>
      <c r="O38" s="96"/>
      <c r="P38" s="96"/>
      <c r="Q38" s="66"/>
      <c r="R38" s="66"/>
      <c r="S38" s="66"/>
      <c r="T38" s="66"/>
      <c r="U38" s="66"/>
      <c r="V38" s="66"/>
      <c r="AR38" s="167" t="s">
        <v>36</v>
      </c>
      <c r="AS38" s="167"/>
      <c r="AT38" s="167"/>
    </row>
    <row r="39" spans="1:63" ht="16.8">
      <c r="A39" s="105" t="s">
        <v>91</v>
      </c>
      <c r="B39" s="106" t="s">
        <v>193</v>
      </c>
      <c r="C39" s="112"/>
      <c r="D39" s="110"/>
      <c r="E39" s="112"/>
      <c r="F39" s="58"/>
      <c r="G39" s="94" t="s">
        <v>217</v>
      </c>
      <c r="H39" s="94"/>
      <c r="I39" s="94"/>
      <c r="J39" s="94"/>
      <c r="K39" s="96"/>
      <c r="L39" s="96"/>
      <c r="M39" s="96"/>
      <c r="N39" s="96"/>
      <c r="O39" s="96"/>
      <c r="P39" s="96"/>
      <c r="Q39" s="94"/>
      <c r="R39" s="94"/>
      <c r="S39" s="94"/>
      <c r="T39" s="94"/>
      <c r="U39" s="94"/>
      <c r="V39" s="94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R39" s="167" t="s">
        <v>36</v>
      </c>
      <c r="AS39" s="167"/>
      <c r="AT39" s="167"/>
      <c r="AU39" s="112" t="s">
        <v>409</v>
      </c>
      <c r="AV39" s="112" t="s">
        <v>410</v>
      </c>
    </row>
    <row r="40" spans="1:63" ht="16.8">
      <c r="A40" s="105"/>
      <c r="B40" s="106"/>
      <c r="C40" s="112"/>
      <c r="D40" s="110"/>
      <c r="E40" s="112"/>
      <c r="F40" s="58"/>
      <c r="G40" s="68"/>
      <c r="H40" s="67"/>
      <c r="I40" s="67"/>
      <c r="J40" s="67"/>
      <c r="K40" s="96"/>
      <c r="L40" s="96"/>
      <c r="M40" s="96"/>
      <c r="N40" s="96"/>
      <c r="O40" s="96"/>
      <c r="P40" s="96"/>
      <c r="Q40" s="67"/>
      <c r="R40" s="67"/>
      <c r="S40" s="67"/>
      <c r="T40" s="67"/>
      <c r="U40" s="67"/>
      <c r="V40" s="67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R40" s="167"/>
      <c r="AS40" s="167"/>
      <c r="AT40" s="167"/>
    </row>
    <row r="41" spans="1:63" ht="17.399999999999999" thickBot="1">
      <c r="A41" s="105" t="str">
        <f>C41</f>
        <v>R_IPRev</v>
      </c>
      <c r="B41" s="106"/>
      <c r="C41" s="112" t="s">
        <v>327</v>
      </c>
      <c r="D41" s="110"/>
      <c r="E41" s="112"/>
      <c r="F41" s="58"/>
      <c r="G41" s="95" t="s">
        <v>218</v>
      </c>
      <c r="H41" s="46"/>
      <c r="I41" s="67"/>
      <c r="J41" s="67"/>
      <c r="K41" s="96">
        <v>28782082.130000003</v>
      </c>
      <c r="L41" s="96">
        <v>29015518.609999999</v>
      </c>
      <c r="M41" s="96">
        <v>27836998.940000001</v>
      </c>
      <c r="N41" s="96">
        <v>28239399.25</v>
      </c>
      <c r="O41" s="96">
        <v>29176925.030000001</v>
      </c>
      <c r="P41" s="96">
        <v>16110946.471945114</v>
      </c>
      <c r="Q41" s="96">
        <v>17329015.715490863</v>
      </c>
      <c r="R41" s="96">
        <v>18255159.016679022</v>
      </c>
      <c r="S41" s="96">
        <v>18862388.995436464</v>
      </c>
      <c r="T41" s="96">
        <v>19870939.269569661</v>
      </c>
      <c r="U41" s="96">
        <v>21535799.446939986</v>
      </c>
      <c r="V41" s="96">
        <v>22625099.033087537</v>
      </c>
      <c r="W41" s="96">
        <f>SUM(K41:V41)</f>
        <v>277640271.90914863</v>
      </c>
      <c r="X41" s="96"/>
      <c r="Y41" s="96">
        <v>272657724.52345413</v>
      </c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46"/>
      <c r="AP41" s="46"/>
      <c r="AQ41" s="46"/>
      <c r="AR41" s="167"/>
      <c r="AS41" s="167"/>
      <c r="AT41" s="167"/>
      <c r="AU41" s="111"/>
      <c r="AV41" s="111"/>
      <c r="AW41" s="111">
        <v>1</v>
      </c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85"/>
    </row>
    <row r="42" spans="1:63" ht="18" thickTop="1" thickBot="1">
      <c r="A42" s="113"/>
      <c r="B42" s="114"/>
      <c r="C42" s="112" t="str">
        <f>"ACCT.FSDetail='"&amp;C41&amp;"'"</f>
        <v>ACCT.FSDetail='R_IPRev'</v>
      </c>
      <c r="D42" s="110" t="s">
        <v>411</v>
      </c>
      <c r="E42" s="112"/>
      <c r="F42" s="58"/>
      <c r="G42" s="95" t="s">
        <v>328</v>
      </c>
      <c r="H42" s="58"/>
      <c r="I42" s="46"/>
      <c r="J42" s="46"/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90">
        <f t="shared" ref="S42:V43" si="10">AK42</f>
        <v>0</v>
      </c>
      <c r="T42" s="90">
        <f t="shared" si="10"/>
        <v>0</v>
      </c>
      <c r="U42" s="90">
        <f t="shared" si="10"/>
        <v>0</v>
      </c>
      <c r="V42" s="90">
        <f t="shared" si="10"/>
        <v>0</v>
      </c>
      <c r="W42" s="97">
        <f>IF(W44=0,0,1-(SUM(W43,W41)/W44))</f>
        <v>0</v>
      </c>
      <c r="X42" s="97"/>
      <c r="Y42" s="97"/>
      <c r="Z42" s="97"/>
      <c r="AA42" s="97"/>
      <c r="AB42" s="97"/>
      <c r="AC42" s="97" cm="1">
        <f t="array" ref="AC42">IF(AC$7="",0,_xll.GetData(AC$7,$AQ42))</f>
        <v>0</v>
      </c>
      <c r="AD42" s="97" cm="1">
        <f t="array" ref="AD42">IF(AD$7="",0,_xll.GetData(AD$7,$AQ42))</f>
        <v>0</v>
      </c>
      <c r="AE42" s="97" cm="1">
        <f t="array" ref="AE42">IF(AE$7="",0,_xll.GetData(AE$7,$AQ42))</f>
        <v>0</v>
      </c>
      <c r="AF42" s="97" cm="1">
        <f t="array" ref="AF42">IF(AF$7="",0,_xll.GetData(AF$7,$AQ42))</f>
        <v>0</v>
      </c>
      <c r="AG42" s="97" cm="1">
        <f t="array" ref="AG42">IF(AG$7="",0,_xll.GetData(AG$7,$AQ42))</f>
        <v>0</v>
      </c>
      <c r="AH42" s="97" cm="1">
        <f t="array" ref="AH42">IF(AH$7="",0,_xll.GetData(AH$7,$AQ42))</f>
        <v>0</v>
      </c>
      <c r="AI42" s="97" cm="1">
        <f t="array" ref="AI42">IF(AI$7="",0,_xll.GetData(AI$7,$AQ42))</f>
        <v>0</v>
      </c>
      <c r="AJ42" s="97" cm="1">
        <f t="array" ref="AJ42">IF(AJ$7="",0,_xll.GetData(AJ$7,$AQ42))</f>
        <v>0</v>
      </c>
      <c r="AK42" s="97" cm="1">
        <f t="array" ref="AK42">IF(AK$7="",0,_xll.GetData(AK$7,$AQ42))</f>
        <v>0</v>
      </c>
      <c r="AL42" s="97" cm="1">
        <f t="array" ref="AL42">IF(AL$7="",0,_xll.GetData(AL$7,$AQ42))</f>
        <v>0</v>
      </c>
      <c r="AM42" s="97" cm="1">
        <f t="array" ref="AM42">IF(AM$7="",0,_xll.GetData(AM$7,$AQ42))</f>
        <v>0</v>
      </c>
      <c r="AN42" s="97" cm="1">
        <f t="array" ref="AN42">IF(AN$7="",0,_xll.GetData(AN$7,$AQ42))</f>
        <v>0</v>
      </c>
      <c r="AO42" s="69"/>
      <c r="AP42" s="111">
        <f>AP44</f>
        <v>17</v>
      </c>
      <c r="AQ42" s="111" t="str">
        <f>"Dept="&amp;AU42&amp;" And Acct="&amp;AV42</f>
        <v>Dept=0 And Acct=31900</v>
      </c>
      <c r="AR42" s="167" t="str">
        <f>IF(OR(AU42=0,AV42=0),"NoSave","[Save]")</f>
        <v>NoSave</v>
      </c>
      <c r="AS42" s="167"/>
      <c r="AT42" s="167"/>
      <c r="AU42" s="111">
        <f>AU44</f>
        <v>0</v>
      </c>
      <c r="AV42" s="111">
        <f>AV44</f>
        <v>31900</v>
      </c>
      <c r="AW42" s="111">
        <v>1</v>
      </c>
      <c r="AX42" s="280">
        <f>IF(K$20="CYA",0,K42)</f>
        <v>0</v>
      </c>
      <c r="AY42" s="280">
        <f t="shared" ref="AY42:BI43" si="11">IF(L$20="CYA",0,L42)</f>
        <v>0</v>
      </c>
      <c r="AZ42" s="280">
        <f t="shared" si="11"/>
        <v>0</v>
      </c>
      <c r="BA42" s="280">
        <f t="shared" si="11"/>
        <v>0</v>
      </c>
      <c r="BB42" s="280">
        <f t="shared" si="11"/>
        <v>0</v>
      </c>
      <c r="BC42" s="280">
        <f t="shared" si="11"/>
        <v>0</v>
      </c>
      <c r="BD42" s="280">
        <f t="shared" si="11"/>
        <v>0</v>
      </c>
      <c r="BE42" s="280">
        <f t="shared" si="11"/>
        <v>0</v>
      </c>
      <c r="BF42" s="280">
        <f t="shared" si="11"/>
        <v>0</v>
      </c>
      <c r="BG42" s="280">
        <f t="shared" si="11"/>
        <v>0</v>
      </c>
      <c r="BH42" s="280">
        <f t="shared" si="11"/>
        <v>0</v>
      </c>
      <c r="BI42" s="280">
        <f t="shared" si="11"/>
        <v>0</v>
      </c>
      <c r="BJ42" s="90">
        <f>CB42</f>
        <v>0</v>
      </c>
      <c r="BK42" s="86">
        <v>0</v>
      </c>
    </row>
    <row r="43" spans="1:63" ht="18" thickTop="1" thickBot="1">
      <c r="A43" s="105"/>
      <c r="B43" s="106"/>
      <c r="C43" s="112" t="str">
        <f>C42</f>
        <v>ACCT.FSDetail='R_IPRev'</v>
      </c>
      <c r="D43" s="110" t="s">
        <v>411</v>
      </c>
      <c r="E43" s="112"/>
      <c r="F43" s="58"/>
      <c r="G43" s="95" t="s">
        <v>329</v>
      </c>
      <c r="H43" s="58"/>
      <c r="I43" s="71"/>
      <c r="J43" s="84"/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89">
        <f t="shared" si="10"/>
        <v>0</v>
      </c>
      <c r="T43" s="89">
        <f t="shared" si="10"/>
        <v>0</v>
      </c>
      <c r="U43" s="89">
        <f t="shared" si="10"/>
        <v>0</v>
      </c>
      <c r="V43" s="89">
        <f t="shared" si="10"/>
        <v>0</v>
      </c>
      <c r="W43" s="96">
        <f>SUM(K43:V43)</f>
        <v>0</v>
      </c>
      <c r="X43" s="96"/>
      <c r="Y43" s="96"/>
      <c r="Z43" s="96"/>
      <c r="AA43" s="96"/>
      <c r="AB43" s="96"/>
      <c r="AC43" s="96" cm="1">
        <f t="array" ref="AC43">IF(AC$8="",0,_xll.GetData(AC$8,$AQ43))</f>
        <v>0</v>
      </c>
      <c r="AD43" s="96" cm="1">
        <f t="array" ref="AD43">IF(AD$8="",0,_xll.GetData(AD$8,$AQ43))</f>
        <v>0</v>
      </c>
      <c r="AE43" s="96" cm="1">
        <f t="array" ref="AE43">IF(AE$8="",0,_xll.GetData(AE$8,$AQ43))</f>
        <v>0</v>
      </c>
      <c r="AF43" s="96" cm="1">
        <f t="array" ref="AF43">IF(AF$8="",0,_xll.GetData(AF$8,$AQ43))</f>
        <v>0</v>
      </c>
      <c r="AG43" s="96" cm="1">
        <f t="array" ref="AG43">IF(AG$8="",0,_xll.GetData(AG$8,$AQ43))</f>
        <v>0</v>
      </c>
      <c r="AH43" s="96" cm="1">
        <f t="array" ref="AH43">IF(AH$8="",0,_xll.GetData(AH$8,$AQ43))</f>
        <v>0</v>
      </c>
      <c r="AI43" s="96" cm="1">
        <f t="array" ref="AI43">IF(AI$8="",0,_xll.GetData(AI$8,$AQ43))</f>
        <v>0</v>
      </c>
      <c r="AJ43" s="96" cm="1">
        <f t="array" ref="AJ43">IF(AJ$8="",0,_xll.GetData(AJ$8,$AQ43))</f>
        <v>0</v>
      </c>
      <c r="AK43" s="96" cm="1">
        <f t="array" ref="AK43">IF(AK$8="",0,_xll.GetData(AK$8,$AQ43))</f>
        <v>0</v>
      </c>
      <c r="AL43" s="96" cm="1">
        <f t="array" ref="AL43">IF(AL$8="",0,_xll.GetData(AL$8,$AQ43))</f>
        <v>0</v>
      </c>
      <c r="AM43" s="96" cm="1">
        <f t="array" ref="AM43">IF(AM$8="",0,_xll.GetData(AM$8,$AQ43))</f>
        <v>0</v>
      </c>
      <c r="AN43" s="96" cm="1">
        <f t="array" ref="AN43">IF(AN$8="",0,_xll.GetData(AN$8,$AQ43))</f>
        <v>0</v>
      </c>
      <c r="AO43" s="69"/>
      <c r="AP43" s="111">
        <f>AP44</f>
        <v>17</v>
      </c>
      <c r="AQ43" s="111" t="str">
        <f>"Dept="&amp;AU43&amp;" And Acct="&amp;AV43</f>
        <v>Dept=0 And Acct=31900</v>
      </c>
      <c r="AR43" s="167"/>
      <c r="AS43" s="167" t="str">
        <f>IF(OR(AU43=0,AV43=0),"NoSave","[Save]")</f>
        <v>NoSave</v>
      </c>
      <c r="AT43" s="167"/>
      <c r="AU43" s="111">
        <f>AU44</f>
        <v>0</v>
      </c>
      <c r="AV43" s="111">
        <f>AV44</f>
        <v>31900</v>
      </c>
      <c r="AW43" s="111">
        <v>1</v>
      </c>
      <c r="AX43" s="281">
        <f>IF(K$20="CYA",0,K43)</f>
        <v>0</v>
      </c>
      <c r="AY43" s="281">
        <f t="shared" si="11"/>
        <v>0</v>
      </c>
      <c r="AZ43" s="281">
        <f t="shared" si="11"/>
        <v>0</v>
      </c>
      <c r="BA43" s="281">
        <f t="shared" si="11"/>
        <v>0</v>
      </c>
      <c r="BB43" s="281">
        <f t="shared" si="11"/>
        <v>0</v>
      </c>
      <c r="BC43" s="281">
        <f t="shared" si="11"/>
        <v>0</v>
      </c>
      <c r="BD43" s="281">
        <f t="shared" si="11"/>
        <v>0</v>
      </c>
      <c r="BE43" s="281">
        <f t="shared" si="11"/>
        <v>0</v>
      </c>
      <c r="BF43" s="281">
        <f t="shared" si="11"/>
        <v>0</v>
      </c>
      <c r="BG43" s="281">
        <f t="shared" si="11"/>
        <v>0</v>
      </c>
      <c r="BH43" s="281">
        <f t="shared" si="11"/>
        <v>0</v>
      </c>
      <c r="BI43" s="281">
        <f t="shared" si="11"/>
        <v>0</v>
      </c>
      <c r="BJ43" s="89">
        <f>CB43</f>
        <v>0</v>
      </c>
      <c r="BK43" s="96">
        <v>0</v>
      </c>
    </row>
    <row r="44" spans="1:63" ht="17.399999999999999" thickTop="1">
      <c r="A44" s="105"/>
      <c r="B44" s="106" t="str">
        <f>C41</f>
        <v>R_IPRev</v>
      </c>
      <c r="C44" s="112" t="s">
        <v>268</v>
      </c>
      <c r="D44" s="110"/>
      <c r="E44" s="112"/>
      <c r="F44" s="74"/>
      <c r="G44" s="100" t="str">
        <f>"   Total "&amp;G41</f>
        <v xml:space="preserve">   Total Inpatient Revenue</v>
      </c>
      <c r="H44" s="100"/>
      <c r="I44" s="100"/>
      <c r="J44" s="116"/>
      <c r="K44" s="116">
        <f>IF(K$20 ="CYA",K41,K41*(1+K42)+K43)</f>
        <v>28782082.130000003</v>
      </c>
      <c r="L44" s="116">
        <f>IF(L$20 ="CYA",L41,L41*(1+L42)+L43)</f>
        <v>29015518.609999999</v>
      </c>
      <c r="M44" s="116">
        <f>IF(M$20 ="CYA",M41,M41*(1+M42)+M43)</f>
        <v>27836998.940000001</v>
      </c>
      <c r="N44" s="116">
        <f>IF(N$20 ="CYA",N41,N41*(1+N42)+N43)</f>
        <v>28239399.25</v>
      </c>
      <c r="O44" s="116">
        <f>IF(O$20 ="CYA",O41,O41*(1+O42)+O43)</f>
        <v>29176925.030000001</v>
      </c>
      <c r="P44" s="116">
        <f>IF(P$20 ="CYA",P41,P41*(1+P42)+P43)</f>
        <v>16110946.471945114</v>
      </c>
      <c r="Q44" s="116">
        <f>IF(Q$20 ="CYA",Q41,Q41*(1+Q42)+Q43)</f>
        <v>17329015.715490863</v>
      </c>
      <c r="R44" s="116">
        <f>IF(R$20 ="CYA",R41,R41*(1+R42)+R43)</f>
        <v>18255159.016679022</v>
      </c>
      <c r="S44" s="116">
        <f>IF(S$20 ="CYA",S41,S41*(1+S42)+S43)</f>
        <v>18862388.995436464</v>
      </c>
      <c r="T44" s="116">
        <f>IF(T$20 ="CYA",T41,T41*(1+T42)+T43)</f>
        <v>19870939.269569661</v>
      </c>
      <c r="U44" s="116">
        <f>IF(U$20 ="CYA",U41,U41*(1+U42)+U43)</f>
        <v>21535799.446939986</v>
      </c>
      <c r="V44" s="116">
        <f>IF(V$20 ="CYA",V41,V41*(1+V42)+V43)</f>
        <v>22625099.033087537</v>
      </c>
      <c r="W44" s="116">
        <f>SUM(K44:V44)</f>
        <v>277640271.90914863</v>
      </c>
      <c r="X44" s="116"/>
      <c r="Y44" s="116">
        <f>SUM(Y41:Y43)</f>
        <v>272657724.52345413</v>
      </c>
      <c r="Z44" s="101">
        <f>W44-Y44</f>
        <v>4982547.3856945038</v>
      </c>
      <c r="AA44" s="102">
        <f>IF(Y44=0,0,Z44/Y44)</f>
        <v>1.8274000468546794E-2</v>
      </c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67"/>
      <c r="AP44" s="111">
        <f>ROW(Control!D17)</f>
        <v>17</v>
      </c>
      <c r="AQ44" s="111"/>
      <c r="AR44" s="167"/>
      <c r="AS44" s="167"/>
      <c r="AT44" s="167" t="str">
        <f>IF(OR(AU44=0,AV44=0),"NoSave","[Save]")</f>
        <v>NoSave</v>
      </c>
      <c r="AU44" s="111" cm="1">
        <f t="array" ref="AU44">INDEX(Control!G$1:G$9997,$AP44)</f>
        <v>0</v>
      </c>
      <c r="AV44" s="111" cm="1">
        <f t="array" ref="AV44">INDEX(Control!I$1:I$9997,$AP44)</f>
        <v>31900</v>
      </c>
      <c r="AW44" s="111">
        <v>1</v>
      </c>
      <c r="AX44" s="281">
        <f>IF(K$20="CYA",0,K44-K41)</f>
        <v>0</v>
      </c>
      <c r="AY44" s="281">
        <f t="shared" ref="AY44:BI44" si="12">IF(L$20="CYA",0,L44-L41)</f>
        <v>0</v>
      </c>
      <c r="AZ44" s="281">
        <f t="shared" si="12"/>
        <v>0</v>
      </c>
      <c r="BA44" s="281">
        <f t="shared" si="12"/>
        <v>0</v>
      </c>
      <c r="BB44" s="281">
        <f t="shared" si="12"/>
        <v>0</v>
      </c>
      <c r="BC44" s="281">
        <f t="shared" si="12"/>
        <v>0</v>
      </c>
      <c r="BD44" s="281">
        <f t="shared" si="12"/>
        <v>0</v>
      </c>
      <c r="BE44" s="281">
        <f t="shared" si="12"/>
        <v>0</v>
      </c>
      <c r="BF44" s="281">
        <f t="shared" si="12"/>
        <v>0</v>
      </c>
      <c r="BG44" s="281">
        <f t="shared" si="12"/>
        <v>0</v>
      </c>
      <c r="BH44" s="281">
        <f t="shared" si="12"/>
        <v>0</v>
      </c>
      <c r="BI44" s="281">
        <f t="shared" si="12"/>
        <v>0</v>
      </c>
    </row>
    <row r="45" spans="1:63" s="55" customFormat="1" ht="16.8">
      <c r="A45" s="105"/>
      <c r="B45" s="106"/>
      <c r="C45" s="112"/>
      <c r="D45" s="110"/>
      <c r="E45" s="112"/>
      <c r="F45" s="74"/>
      <c r="G45" s="100" t="s">
        <v>507</v>
      </c>
      <c r="H45" s="100"/>
      <c r="I45" s="100"/>
      <c r="J45" s="147"/>
      <c r="K45" s="150">
        <f>IF(K$59=0,0,K44/K$59)</f>
        <v>0.48802497377576071</v>
      </c>
      <c r="L45" s="150">
        <f>IF(L$59=0,0,L44/L$59)</f>
        <v>0.4800872619668245</v>
      </c>
      <c r="M45" s="150">
        <f>IF(M$59=0,0,M44/M$59)</f>
        <v>0.45378499603406214</v>
      </c>
      <c r="N45" s="150">
        <f>IF(N$59=0,0,N44/N$59)</f>
        <v>0.46836338870872335</v>
      </c>
      <c r="O45" s="150">
        <f>IF(O$59=0,0,O44/O$59)</f>
        <v>0.47490057061350466</v>
      </c>
      <c r="P45" s="150">
        <f>IF(P$59=0,0,P44/P$59)</f>
        <v>0.38196844643389649</v>
      </c>
      <c r="Q45" s="150">
        <f>IF(Q$59=0,0,Q44/Q$59)</f>
        <v>0.39500495328518392</v>
      </c>
      <c r="R45" s="150">
        <f>IF(R$59=0,0,R44/R$59)</f>
        <v>0.40764659621772703</v>
      </c>
      <c r="S45" s="150">
        <f>IF(S$59=0,0,S44/S$59)</f>
        <v>0.41358151980526608</v>
      </c>
      <c r="T45" s="150">
        <f>IF(T$59=0,0,T44/T$59)</f>
        <v>0.4216654614670326</v>
      </c>
      <c r="U45" s="150">
        <f>IF(U$59=0,0,U44/U$59)</f>
        <v>0.43405867799026732</v>
      </c>
      <c r="V45" s="150">
        <f>IF(V$59=0,0,V44/V$59)</f>
        <v>0.44046296510031457</v>
      </c>
      <c r="W45" s="150">
        <f>IF(W$59=0,0,W44/W$59)</f>
        <v>0.44278253681012991</v>
      </c>
      <c r="X45" s="147"/>
      <c r="Y45" s="150">
        <f>IF(Y$59=0,0,Y44/Y$59)</f>
        <v>0.44166800821144875</v>
      </c>
      <c r="Z45" s="101"/>
      <c r="AA45" s="102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67"/>
      <c r="AP45" s="111"/>
      <c r="AQ45" s="111"/>
      <c r="AR45" s="167"/>
      <c r="AS45" s="167"/>
      <c r="AT45" s="167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</row>
    <row r="46" spans="1:63" ht="16.8">
      <c r="A46" s="105"/>
      <c r="B46" s="106"/>
      <c r="C46" s="112"/>
      <c r="D46" s="110"/>
      <c r="E46" s="112"/>
      <c r="F46" s="74"/>
      <c r="G46" s="75"/>
      <c r="H46" s="67"/>
      <c r="I46" s="67"/>
      <c r="J46" s="67"/>
      <c r="K46" s="96"/>
      <c r="L46" s="96"/>
      <c r="M46" s="96"/>
      <c r="N46" s="96"/>
      <c r="O46" s="96"/>
      <c r="P46" s="96"/>
      <c r="Q46" s="67"/>
      <c r="R46" s="67"/>
      <c r="S46" s="67"/>
      <c r="T46" s="67"/>
      <c r="U46" s="67"/>
      <c r="V46" s="67"/>
      <c r="W46" s="67"/>
      <c r="X46" s="83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76"/>
      <c r="AP46" s="76"/>
      <c r="AQ46" s="76"/>
      <c r="AR46" s="167"/>
      <c r="AS46" s="167"/>
      <c r="AT46" s="167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</row>
    <row r="47" spans="1:63" ht="17.399999999999999" thickBot="1">
      <c r="A47" s="105" t="str">
        <f>C47</f>
        <v>R_OPRev</v>
      </c>
      <c r="B47" s="106"/>
      <c r="C47" s="112" t="s">
        <v>330</v>
      </c>
      <c r="D47" s="110"/>
      <c r="E47" s="112"/>
      <c r="F47" s="58"/>
      <c r="G47" s="95" t="s">
        <v>219</v>
      </c>
      <c r="H47" s="67"/>
      <c r="I47" s="67"/>
      <c r="J47" s="67"/>
      <c r="K47" s="96">
        <v>12044957.890000001</v>
      </c>
      <c r="L47" s="96">
        <v>13898266.880000001</v>
      </c>
      <c r="M47" s="96">
        <v>12512469.390000001</v>
      </c>
      <c r="N47" s="96">
        <v>13052113.23</v>
      </c>
      <c r="O47" s="96">
        <v>13037962.399999999</v>
      </c>
      <c r="P47" s="96">
        <v>7065751.6395266987</v>
      </c>
      <c r="Q47" s="96">
        <v>7672956.5337087922</v>
      </c>
      <c r="R47" s="96">
        <v>8404062.6479461603</v>
      </c>
      <c r="S47" s="96">
        <v>7965380.9081638241</v>
      </c>
      <c r="T47" s="96">
        <v>8585946.5238734316</v>
      </c>
      <c r="U47" s="96">
        <v>9266973.3320064377</v>
      </c>
      <c r="V47" s="96">
        <v>10084078.031025758</v>
      </c>
      <c r="W47" s="96">
        <f>SUM(K47:V47)</f>
        <v>123590919.40625112</v>
      </c>
      <c r="X47" s="53"/>
      <c r="Y47" s="96">
        <v>119514652.7214922</v>
      </c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R47" s="167"/>
      <c r="AS47" s="167"/>
      <c r="AT47" s="167"/>
      <c r="AU47" s="111"/>
      <c r="AV47" s="111"/>
      <c r="AW47" s="111">
        <v>1</v>
      </c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</row>
    <row r="48" spans="1:63" ht="18" thickTop="1" thickBot="1">
      <c r="A48" s="113"/>
      <c r="B48" s="114"/>
      <c r="C48" s="112" t="str">
        <f>"ACCT.FSDetail='"&amp;C47&amp;"'"</f>
        <v>ACCT.FSDetail='R_OPRev'</v>
      </c>
      <c r="D48" s="110" t="s">
        <v>411</v>
      </c>
      <c r="E48" s="112"/>
      <c r="F48" s="58"/>
      <c r="G48" s="95" t="s">
        <v>328</v>
      </c>
      <c r="H48" s="58"/>
      <c r="I48" s="46"/>
      <c r="J48" s="117"/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90">
        <f t="shared" ref="S48:V49" si="13">AK48</f>
        <v>0</v>
      </c>
      <c r="T48" s="90">
        <f t="shared" si="13"/>
        <v>0</v>
      </c>
      <c r="U48" s="90">
        <f t="shared" si="13"/>
        <v>0</v>
      </c>
      <c r="V48" s="90">
        <f t="shared" si="13"/>
        <v>0</v>
      </c>
      <c r="W48" s="97">
        <f>IF(W50=0,0,1-(SUM(W49,W47)/W50))</f>
        <v>0</v>
      </c>
      <c r="X48" s="117"/>
      <c r="Y48" s="97"/>
      <c r="Z48" s="97"/>
      <c r="AA48" s="97"/>
      <c r="AB48" s="97"/>
      <c r="AC48" s="97" cm="1">
        <f t="array" ref="AC48">IF(AC$7="",0,_xll.GetData(AC$7,$AQ48))</f>
        <v>0</v>
      </c>
      <c r="AD48" s="97" cm="1">
        <f t="array" ref="AD48">IF(AD$7="",0,_xll.GetData(AD$7,$AQ48))</f>
        <v>0</v>
      </c>
      <c r="AE48" s="97" cm="1">
        <f t="array" ref="AE48">IF(AE$7="",0,_xll.GetData(AE$7,$AQ48))</f>
        <v>0</v>
      </c>
      <c r="AF48" s="97" cm="1">
        <f t="array" ref="AF48">IF(AF$7="",0,_xll.GetData(AF$7,$AQ48))</f>
        <v>0</v>
      </c>
      <c r="AG48" s="97" cm="1">
        <f t="array" ref="AG48">IF(AG$7="",0,_xll.GetData(AG$7,$AQ48))</f>
        <v>0</v>
      </c>
      <c r="AH48" s="97" cm="1">
        <f t="array" ref="AH48">IF(AH$7="",0,_xll.GetData(AH$7,$AQ48))</f>
        <v>0</v>
      </c>
      <c r="AI48" s="97" cm="1">
        <f t="array" ref="AI48">IF(AI$7="",0,_xll.GetData(AI$7,$AQ48))</f>
        <v>0</v>
      </c>
      <c r="AJ48" s="97" cm="1">
        <f t="array" ref="AJ48">IF(AJ$7="",0,_xll.GetData(AJ$7,$AQ48))</f>
        <v>0</v>
      </c>
      <c r="AK48" s="97" cm="1">
        <f t="array" ref="AK48">IF(AK$7="",0,_xll.GetData(AK$7,$AQ48))</f>
        <v>0</v>
      </c>
      <c r="AL48" s="97" cm="1">
        <f t="array" ref="AL48">IF(AL$7="",0,_xll.GetData(AL$7,$AQ48))</f>
        <v>0</v>
      </c>
      <c r="AM48" s="97" cm="1">
        <f t="array" ref="AM48">IF(AM$7="",0,_xll.GetData(AM$7,$AQ48))</f>
        <v>0</v>
      </c>
      <c r="AN48" s="97" cm="1">
        <f t="array" ref="AN48">IF(AN$7="",0,_xll.GetData(AN$7,$AQ48))</f>
        <v>0</v>
      </c>
      <c r="AO48" s="46"/>
      <c r="AP48" s="111">
        <f>AP50</f>
        <v>18</v>
      </c>
      <c r="AQ48" s="111" t="str">
        <f>"Dept="&amp;AU48&amp;" And Acct="&amp;AV48</f>
        <v>Dept=0 And Acct=32900</v>
      </c>
      <c r="AR48" s="167" t="str">
        <f>IF(OR(AU48=0,AV48=0),"NoSave","[Save]")</f>
        <v>NoSave</v>
      </c>
      <c r="AS48" s="167"/>
      <c r="AT48" s="167"/>
      <c r="AU48" s="111">
        <f>AU50</f>
        <v>0</v>
      </c>
      <c r="AV48" s="111">
        <f>AV50</f>
        <v>32900</v>
      </c>
      <c r="AW48" s="111">
        <v>1</v>
      </c>
      <c r="AX48" s="280">
        <f>IF(K$20="CYA",0,K48)</f>
        <v>0</v>
      </c>
      <c r="AY48" s="280">
        <f t="shared" ref="AY48:AY49" si="14">IF(L$20="CYA",0,L48)</f>
        <v>0</v>
      </c>
      <c r="AZ48" s="280">
        <f t="shared" ref="AZ48:AZ49" si="15">IF(M$20="CYA",0,M48)</f>
        <v>0</v>
      </c>
      <c r="BA48" s="280">
        <f t="shared" ref="BA48:BA49" si="16">IF(N$20="CYA",0,N48)</f>
        <v>0</v>
      </c>
      <c r="BB48" s="280">
        <f t="shared" ref="BB48:BB49" si="17">IF(O$20="CYA",0,O48)</f>
        <v>0</v>
      </c>
      <c r="BC48" s="280">
        <f t="shared" ref="BC48:BC49" si="18">IF(P$20="CYA",0,P48)</f>
        <v>0</v>
      </c>
      <c r="BD48" s="280">
        <f t="shared" ref="BD48:BD49" si="19">IF(Q$20="CYA",0,Q48)</f>
        <v>0</v>
      </c>
      <c r="BE48" s="280">
        <f t="shared" ref="BE48:BE49" si="20">IF(R$20="CYA",0,R48)</f>
        <v>0</v>
      </c>
      <c r="BF48" s="280">
        <f t="shared" ref="BF48:BF49" si="21">IF(S$20="CYA",0,S48)</f>
        <v>0</v>
      </c>
      <c r="BG48" s="280">
        <f t="shared" ref="BG48:BG49" si="22">IF(T$20="CYA",0,T48)</f>
        <v>0</v>
      </c>
      <c r="BH48" s="280">
        <f t="shared" ref="BH48:BH49" si="23">IF(U$20="CYA",0,U48)</f>
        <v>0</v>
      </c>
      <c r="BI48" s="280">
        <f t="shared" ref="BI48:BI49" si="24">IF(V$20="CYA",0,V48)</f>
        <v>0</v>
      </c>
      <c r="BJ48" s="90">
        <f>CB48</f>
        <v>0</v>
      </c>
      <c r="BK48" s="86">
        <v>0</v>
      </c>
    </row>
    <row r="49" spans="1:63" ht="18" thickTop="1" thickBot="1">
      <c r="A49" s="105"/>
      <c r="B49" s="106"/>
      <c r="C49" s="112" t="str">
        <f>C48</f>
        <v>ACCT.FSDetail='R_OPRev'</v>
      </c>
      <c r="D49" s="110" t="s">
        <v>411</v>
      </c>
      <c r="E49" s="112"/>
      <c r="F49" s="58"/>
      <c r="G49" s="95" t="s">
        <v>329</v>
      </c>
      <c r="H49" s="58"/>
      <c r="I49" s="71"/>
      <c r="J49" s="67"/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89">
        <f t="shared" si="13"/>
        <v>0</v>
      </c>
      <c r="T49" s="89">
        <f t="shared" si="13"/>
        <v>0</v>
      </c>
      <c r="U49" s="89">
        <f t="shared" si="13"/>
        <v>0</v>
      </c>
      <c r="V49" s="89">
        <f t="shared" si="13"/>
        <v>0</v>
      </c>
      <c r="W49" s="96">
        <f>SUM(K49:V49)</f>
        <v>0</v>
      </c>
      <c r="X49" s="118"/>
      <c r="Y49" s="96"/>
      <c r="Z49" s="96"/>
      <c r="AA49" s="96"/>
      <c r="AB49" s="96"/>
      <c r="AC49" s="96" cm="1">
        <f t="array" ref="AC49">IF(AC$8="",0,_xll.GetData(AC$8,$AQ49))</f>
        <v>0</v>
      </c>
      <c r="AD49" s="96" cm="1">
        <f t="array" ref="AD49">IF(AD$8="",0,_xll.GetData(AD$8,$AQ49))</f>
        <v>0</v>
      </c>
      <c r="AE49" s="96" cm="1">
        <f t="array" ref="AE49">IF(AE$8="",0,_xll.GetData(AE$8,$AQ49))</f>
        <v>0</v>
      </c>
      <c r="AF49" s="96" cm="1">
        <f t="array" ref="AF49">IF(AF$8="",0,_xll.GetData(AF$8,$AQ49))</f>
        <v>0</v>
      </c>
      <c r="AG49" s="96" cm="1">
        <f t="array" ref="AG49">IF(AG$8="",0,_xll.GetData(AG$8,$AQ49))</f>
        <v>0</v>
      </c>
      <c r="AH49" s="96" cm="1">
        <f t="array" ref="AH49">IF(AH$8="",0,_xll.GetData(AH$8,$AQ49))</f>
        <v>0</v>
      </c>
      <c r="AI49" s="96" cm="1">
        <f t="array" ref="AI49">IF(AI$8="",0,_xll.GetData(AI$8,$AQ49))</f>
        <v>0</v>
      </c>
      <c r="AJ49" s="96" cm="1">
        <f t="array" ref="AJ49">IF(AJ$8="",0,_xll.GetData(AJ$8,$AQ49))</f>
        <v>0</v>
      </c>
      <c r="AK49" s="96" cm="1">
        <f t="array" ref="AK49">IF(AK$8="",0,_xll.GetData(AK$8,$AQ49))</f>
        <v>0</v>
      </c>
      <c r="AL49" s="96" cm="1">
        <f t="array" ref="AL49">IF(AL$8="",0,_xll.GetData(AL$8,$AQ49))</f>
        <v>0</v>
      </c>
      <c r="AM49" s="96" cm="1">
        <f t="array" ref="AM49">IF(AM$8="",0,_xll.GetData(AM$8,$AQ49))</f>
        <v>0</v>
      </c>
      <c r="AN49" s="96" cm="1">
        <f t="array" ref="AN49">IF(AN$8="",0,_xll.GetData(AN$8,$AQ49))</f>
        <v>0</v>
      </c>
      <c r="AO49" s="69"/>
      <c r="AP49" s="111">
        <f>AP50</f>
        <v>18</v>
      </c>
      <c r="AQ49" s="111" t="str">
        <f>"Dept="&amp;AU49&amp;" And Acct="&amp;AV49</f>
        <v>Dept=0 And Acct=32900</v>
      </c>
      <c r="AR49" s="167"/>
      <c r="AS49" s="167" t="str">
        <f>IF(OR(AU49=0,AV49=0),"NoSave","[Save]")</f>
        <v>NoSave</v>
      </c>
      <c r="AT49" s="167"/>
      <c r="AU49" s="111">
        <f>AU50</f>
        <v>0</v>
      </c>
      <c r="AV49" s="111">
        <f>AV50</f>
        <v>32900</v>
      </c>
      <c r="AW49" s="111">
        <v>1</v>
      </c>
      <c r="AX49" s="281">
        <f>IF(K$20="CYA",0,K49)</f>
        <v>0</v>
      </c>
      <c r="AY49" s="281">
        <f t="shared" si="14"/>
        <v>0</v>
      </c>
      <c r="AZ49" s="281">
        <f t="shared" si="15"/>
        <v>0</v>
      </c>
      <c r="BA49" s="281">
        <f t="shared" si="16"/>
        <v>0</v>
      </c>
      <c r="BB49" s="281">
        <f t="shared" si="17"/>
        <v>0</v>
      </c>
      <c r="BC49" s="281">
        <f t="shared" si="18"/>
        <v>0</v>
      </c>
      <c r="BD49" s="281">
        <f t="shared" si="19"/>
        <v>0</v>
      </c>
      <c r="BE49" s="281">
        <f t="shared" si="20"/>
        <v>0</v>
      </c>
      <c r="BF49" s="281">
        <f t="shared" si="21"/>
        <v>0</v>
      </c>
      <c r="BG49" s="281">
        <f t="shared" si="22"/>
        <v>0</v>
      </c>
      <c r="BH49" s="281">
        <f t="shared" si="23"/>
        <v>0</v>
      </c>
      <c r="BI49" s="281">
        <f t="shared" si="24"/>
        <v>0</v>
      </c>
      <c r="BJ49" s="89">
        <f>CB49</f>
        <v>0</v>
      </c>
      <c r="BK49" s="96">
        <v>0</v>
      </c>
    </row>
    <row r="50" spans="1:63" ht="17.399999999999999" thickTop="1">
      <c r="A50" s="105"/>
      <c r="B50" s="106" t="str">
        <f>C47</f>
        <v>R_OPRev</v>
      </c>
      <c r="C50" s="112" t="s">
        <v>268</v>
      </c>
      <c r="D50" s="110"/>
      <c r="E50" s="112"/>
      <c r="F50" s="74"/>
      <c r="G50" s="100" t="str">
        <f>"   Total "&amp;G47</f>
        <v xml:space="preserve">   Total Outpatient Revenue</v>
      </c>
      <c r="H50" s="100"/>
      <c r="I50" s="100"/>
      <c r="J50" s="116"/>
      <c r="K50" s="116">
        <f>IF(K$20 ="CYA",K47,K47*(1+K48)+K49)</f>
        <v>12044957.890000001</v>
      </c>
      <c r="L50" s="116">
        <f>IF(L$20 ="CYA",L47,L47*(1+L48)+L49)</f>
        <v>13898266.880000001</v>
      </c>
      <c r="M50" s="116">
        <f>IF(M$20 ="CYA",M47,M47*(1+M48)+M49)</f>
        <v>12512469.390000001</v>
      </c>
      <c r="N50" s="116">
        <f>IF(N$20 ="CYA",N47,N47*(1+N48)+N49)</f>
        <v>13052113.23</v>
      </c>
      <c r="O50" s="116">
        <f>IF(O$20 ="CYA",O47,O47*(1+O48)+O49)</f>
        <v>13037962.399999999</v>
      </c>
      <c r="P50" s="116">
        <f>IF(P$20 ="CYA",P47,P47*(1+P48)+P49)</f>
        <v>7065751.6395266987</v>
      </c>
      <c r="Q50" s="116">
        <f>IF(Q$20 ="CYA",Q47,Q47*(1+Q48)+Q49)</f>
        <v>7672956.5337087922</v>
      </c>
      <c r="R50" s="116">
        <f>IF(R$20 ="CYA",R47,R47*(1+R48)+R49)</f>
        <v>8404062.6479461603</v>
      </c>
      <c r="S50" s="116">
        <f>IF(S$20 ="CYA",S47,S47*(1+S48)+S49)</f>
        <v>7965380.9081638241</v>
      </c>
      <c r="T50" s="116">
        <f>IF(T$20 ="CYA",T47,T47*(1+T48)+T49)</f>
        <v>8585946.5238734316</v>
      </c>
      <c r="U50" s="116">
        <f>IF(U$20 ="CYA",U47,U47*(1+U48)+U49)</f>
        <v>9266973.3320064377</v>
      </c>
      <c r="V50" s="116">
        <f>IF(V$20 ="CYA",V47,V47*(1+V48)+V49)</f>
        <v>10084078.031025758</v>
      </c>
      <c r="W50" s="116">
        <f>SUM(K50:V50)</f>
        <v>123590919.40625112</v>
      </c>
      <c r="X50" s="116"/>
      <c r="Y50" s="116">
        <f>SUM(Y47:Y49)</f>
        <v>119514652.7214922</v>
      </c>
      <c r="Z50" s="101">
        <f>W50-Y50</f>
        <v>4076266.6847589165</v>
      </c>
      <c r="AA50" s="102">
        <f>IF(Y50=0,0,Z50/Y50)</f>
        <v>3.4106836207422504E-2</v>
      </c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67"/>
      <c r="AP50" s="111">
        <f>ROW(Control!D18)</f>
        <v>18</v>
      </c>
      <c r="AQ50" s="111"/>
      <c r="AR50" s="167"/>
      <c r="AS50" s="167"/>
      <c r="AT50" s="167" t="str">
        <f>IF(OR(AU50=0,AV50=0),"NoSave","[Save]")</f>
        <v>NoSave</v>
      </c>
      <c r="AU50" s="111" cm="1">
        <f t="array" ref="AU50">INDEX(Control!G$1:G$9997,$AP50)</f>
        <v>0</v>
      </c>
      <c r="AV50" s="111" cm="1">
        <f t="array" ref="AV50">INDEX(Control!I$1:I$9997,$AP50)</f>
        <v>32900</v>
      </c>
      <c r="AW50" s="111">
        <v>1</v>
      </c>
      <c r="AX50" s="281">
        <f>IF(K$20="CYA",0,K50-K47)</f>
        <v>0</v>
      </c>
      <c r="AY50" s="281">
        <f t="shared" ref="AY50" si="25">IF(L$20="CYA",0,L50-L47)</f>
        <v>0</v>
      </c>
      <c r="AZ50" s="281">
        <f t="shared" ref="AZ50" si="26">IF(M$20="CYA",0,M50-M47)</f>
        <v>0</v>
      </c>
      <c r="BA50" s="281">
        <f t="shared" ref="BA50" si="27">IF(N$20="CYA",0,N50-N47)</f>
        <v>0</v>
      </c>
      <c r="BB50" s="281">
        <f t="shared" ref="BB50" si="28">IF(O$20="CYA",0,O50-O47)</f>
        <v>0</v>
      </c>
      <c r="BC50" s="281">
        <f t="shared" ref="BC50" si="29">IF(P$20="CYA",0,P50-P47)</f>
        <v>0</v>
      </c>
      <c r="BD50" s="281">
        <f t="shared" ref="BD50" si="30">IF(Q$20="CYA",0,Q50-Q47)</f>
        <v>0</v>
      </c>
      <c r="BE50" s="281">
        <f t="shared" ref="BE50" si="31">IF(R$20="CYA",0,R50-R47)</f>
        <v>0</v>
      </c>
      <c r="BF50" s="281">
        <f t="shared" ref="BF50" si="32">IF(S$20="CYA",0,S50-S47)</f>
        <v>0</v>
      </c>
      <c r="BG50" s="281">
        <f t="shared" ref="BG50" si="33">IF(T$20="CYA",0,T50-T47)</f>
        <v>0</v>
      </c>
      <c r="BH50" s="281">
        <f t="shared" ref="BH50" si="34">IF(U$20="CYA",0,U50-U47)</f>
        <v>0</v>
      </c>
      <c r="BI50" s="281">
        <f t="shared" ref="BI50" si="35">IF(V$20="CYA",0,V50-V47)</f>
        <v>0</v>
      </c>
    </row>
    <row r="51" spans="1:63" s="55" customFormat="1" ht="16.8">
      <c r="A51" s="105"/>
      <c r="B51" s="106"/>
      <c r="C51" s="112"/>
      <c r="D51" s="110"/>
      <c r="E51" s="112"/>
      <c r="F51" s="74"/>
      <c r="G51" s="100" t="s">
        <v>507</v>
      </c>
      <c r="H51" s="100"/>
      <c r="I51" s="100"/>
      <c r="J51" s="147"/>
      <c r="K51" s="150">
        <f>IF(K$59=0,0,K50/K$59)</f>
        <v>0.20423262750231724</v>
      </c>
      <c r="L51" s="150">
        <f>IF(L$59=0,0,L50/L$59)</f>
        <v>0.2299590430275408</v>
      </c>
      <c r="M51" s="150">
        <f>IF(M$59=0,0,M50/M$59)</f>
        <v>0.20397209069683839</v>
      </c>
      <c r="N51" s="150">
        <f>IF(N$59=0,0,N50/N$59)</f>
        <v>0.21647528433922902</v>
      </c>
      <c r="O51" s="150">
        <f>IF(O$59=0,0,O50/O$59)</f>
        <v>0.21221344528359362</v>
      </c>
      <c r="P51" s="150">
        <f>IF(P$59=0,0,P50/P$59)</f>
        <v>0.16751928146105535</v>
      </c>
      <c r="Q51" s="150">
        <f>IF(Q$59=0,0,Q50/Q$59)</f>
        <v>0.17490063411088758</v>
      </c>
      <c r="R51" s="150">
        <f>IF(R$59=0,0,R50/R$59)</f>
        <v>0.1876668140609288</v>
      </c>
      <c r="S51" s="150">
        <f>IF(S$59=0,0,S50/S$59)</f>
        <v>0.17465095978156697</v>
      </c>
      <c r="T51" s="150">
        <f>IF(T$59=0,0,T50/T$59)</f>
        <v>0.18219556982213861</v>
      </c>
      <c r="U51" s="150">
        <f>IF(U$59=0,0,U50/U$59)</f>
        <v>0.18677784418322671</v>
      </c>
      <c r="V51" s="150">
        <f>IF(V$59=0,0,V50/V$59)</f>
        <v>0.19631573339647898</v>
      </c>
      <c r="W51" s="150">
        <f>IF(W$59=0,0,W50/W$59)</f>
        <v>0.197103613409885</v>
      </c>
      <c r="X51" s="147"/>
      <c r="Y51" s="150">
        <f>IF(Y$59=0,0,Y50/Y$59)</f>
        <v>0.19359729753427105</v>
      </c>
      <c r="Z51" s="101"/>
      <c r="AA51" s="102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67"/>
      <c r="AP51" s="111"/>
      <c r="AQ51" s="111"/>
      <c r="AR51" s="167"/>
      <c r="AS51" s="167"/>
      <c r="AT51" s="167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</row>
    <row r="52" spans="1:63" ht="16.8">
      <c r="A52" s="105"/>
      <c r="B52" s="106"/>
      <c r="C52" s="112"/>
      <c r="D52" s="110"/>
      <c r="E52" s="112"/>
      <c r="F52" s="74"/>
      <c r="G52" s="95"/>
      <c r="H52" s="67"/>
      <c r="I52" s="67"/>
      <c r="J52" s="67"/>
      <c r="K52" s="96"/>
      <c r="L52" s="96"/>
      <c r="M52" s="96"/>
      <c r="N52" s="96"/>
      <c r="O52" s="96"/>
      <c r="P52" s="96"/>
      <c r="Q52" s="67"/>
      <c r="R52" s="67"/>
      <c r="S52" s="67"/>
      <c r="T52" s="67"/>
      <c r="U52" s="67"/>
      <c r="V52" s="67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76"/>
      <c r="AP52" s="76"/>
      <c r="AQ52" s="76"/>
      <c r="AR52" s="167"/>
      <c r="AS52" s="167"/>
      <c r="AT52" s="167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</row>
    <row r="53" spans="1:63" ht="17.399999999999999" thickBot="1">
      <c r="A53" s="105" t="str">
        <f>C53</f>
        <v>R_OthPtRev</v>
      </c>
      <c r="B53" s="106"/>
      <c r="C53" s="112" t="s">
        <v>331</v>
      </c>
      <c r="D53" s="110"/>
      <c r="E53" s="112"/>
      <c r="F53" s="58"/>
      <c r="G53" s="95" t="s">
        <v>220</v>
      </c>
      <c r="H53" s="67"/>
      <c r="I53" s="67"/>
      <c r="J53" s="67"/>
      <c r="K53" s="96">
        <v>18149618.300000001</v>
      </c>
      <c r="L53" s="96">
        <v>17524224.239999998</v>
      </c>
      <c r="M53" s="96">
        <v>20994558.43</v>
      </c>
      <c r="N53" s="96">
        <v>19002267.800000001</v>
      </c>
      <c r="O53" s="96">
        <v>19223078.399999999</v>
      </c>
      <c r="P53" s="96">
        <v>19002038.436949536</v>
      </c>
      <c r="Q53" s="96">
        <v>18868403.479936425</v>
      </c>
      <c r="R53" s="96">
        <v>18122604.520251896</v>
      </c>
      <c r="S53" s="96">
        <v>18779657.150485151</v>
      </c>
      <c r="T53" s="96">
        <v>18668006.059059858</v>
      </c>
      <c r="U53" s="96">
        <v>18812176.855634719</v>
      </c>
      <c r="V53" s="96">
        <v>18657454.924877454</v>
      </c>
      <c r="W53" s="96">
        <f>SUM(K53:V53)</f>
        <v>225804088.59719503</v>
      </c>
      <c r="X53" s="96"/>
      <c r="Y53" s="96">
        <v>225163991.82464477</v>
      </c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R53" s="167"/>
      <c r="AS53" s="167"/>
      <c r="AT53" s="167"/>
      <c r="AU53" s="111"/>
      <c r="AV53" s="111"/>
      <c r="AW53" s="111">
        <v>1</v>
      </c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</row>
    <row r="54" spans="1:63" ht="18" thickTop="1" thickBot="1">
      <c r="A54" s="113"/>
      <c r="B54" s="114"/>
      <c r="C54" s="112" t="str">
        <f>"ACCT.FSDetail='"&amp;C53&amp;"'"</f>
        <v>ACCT.FSDetail='R_OthPtRev'</v>
      </c>
      <c r="D54" s="110" t="s">
        <v>411</v>
      </c>
      <c r="E54" s="112"/>
      <c r="F54" s="58"/>
      <c r="G54" s="95" t="s">
        <v>328</v>
      </c>
      <c r="H54" s="58"/>
      <c r="I54" s="46"/>
      <c r="J54" s="117"/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90">
        <f t="shared" ref="S54:V55" si="36">AK54</f>
        <v>0</v>
      </c>
      <c r="T54" s="90">
        <f t="shared" si="36"/>
        <v>0</v>
      </c>
      <c r="U54" s="90">
        <f t="shared" si="36"/>
        <v>0</v>
      </c>
      <c r="V54" s="90">
        <f t="shared" si="36"/>
        <v>0</v>
      </c>
      <c r="W54" s="97">
        <f>IF(W56=0,0,1-(SUM(W55,W53)/W56))</f>
        <v>0</v>
      </c>
      <c r="X54" s="97"/>
      <c r="Y54" s="97"/>
      <c r="Z54" s="97"/>
      <c r="AA54" s="97"/>
      <c r="AB54" s="97"/>
      <c r="AC54" s="97" cm="1">
        <f t="array" ref="AC54">IF(AC$7="",0,_xll.GetData(AC$7,$AQ54))</f>
        <v>0</v>
      </c>
      <c r="AD54" s="97" cm="1">
        <f t="array" ref="AD54">IF(AD$7="",0,_xll.GetData(AD$7,$AQ54))</f>
        <v>0</v>
      </c>
      <c r="AE54" s="97" cm="1">
        <f t="array" ref="AE54">IF(AE$7="",0,_xll.GetData(AE$7,$AQ54))</f>
        <v>0</v>
      </c>
      <c r="AF54" s="97" cm="1">
        <f t="array" ref="AF54">IF(AF$7="",0,_xll.GetData(AF$7,$AQ54))</f>
        <v>0</v>
      </c>
      <c r="AG54" s="97" cm="1">
        <f t="array" ref="AG54">IF(AG$7="",0,_xll.GetData(AG$7,$AQ54))</f>
        <v>0</v>
      </c>
      <c r="AH54" s="97" cm="1">
        <f t="array" ref="AH54">IF(AH$7="",0,_xll.GetData(AH$7,$AQ54))</f>
        <v>0</v>
      </c>
      <c r="AI54" s="97" cm="1">
        <f t="array" ref="AI54">IF(AI$7="",0,_xll.GetData(AI$7,$AQ54))</f>
        <v>0</v>
      </c>
      <c r="AJ54" s="97" cm="1">
        <f t="array" ref="AJ54">IF(AJ$7="",0,_xll.GetData(AJ$7,$AQ54))</f>
        <v>0</v>
      </c>
      <c r="AK54" s="97" cm="1">
        <f t="array" ref="AK54">IF(AK$7="",0,_xll.GetData(AK$7,$AQ54))</f>
        <v>0</v>
      </c>
      <c r="AL54" s="97" cm="1">
        <f t="array" ref="AL54">IF(AL$7="",0,_xll.GetData(AL$7,$AQ54))</f>
        <v>0</v>
      </c>
      <c r="AM54" s="97" cm="1">
        <f t="array" ref="AM54">IF(AM$7="",0,_xll.GetData(AM$7,$AQ54))</f>
        <v>0</v>
      </c>
      <c r="AN54" s="97" cm="1">
        <f t="array" ref="AN54">IF(AN$7="",0,_xll.GetData(AN$7,$AQ54))</f>
        <v>0</v>
      </c>
      <c r="AO54" s="46"/>
      <c r="AP54" s="111">
        <f>AP56</f>
        <v>19</v>
      </c>
      <c r="AQ54" s="111" t="str">
        <f>"Dept="&amp;AU54&amp;" And Acct="&amp;AV54</f>
        <v>Dept=0 And Acct=34000</v>
      </c>
      <c r="AR54" s="167" t="str">
        <f>IF(OR(AU54=0,AV54=0),"NoSave","[Save]")</f>
        <v>NoSave</v>
      </c>
      <c r="AS54" s="167"/>
      <c r="AT54" s="167"/>
      <c r="AU54" s="111">
        <f>AU56</f>
        <v>0</v>
      </c>
      <c r="AV54" s="111">
        <f>AV56</f>
        <v>34000</v>
      </c>
      <c r="AW54" s="111">
        <v>1</v>
      </c>
      <c r="AX54" s="280">
        <f>IF(K$20="CYA",0,K54)</f>
        <v>0</v>
      </c>
      <c r="AY54" s="280">
        <f t="shared" ref="AY54:AY55" si="37">IF(L$20="CYA",0,L54)</f>
        <v>0</v>
      </c>
      <c r="AZ54" s="280">
        <f t="shared" ref="AZ54:AZ55" si="38">IF(M$20="CYA",0,M54)</f>
        <v>0</v>
      </c>
      <c r="BA54" s="280">
        <f t="shared" ref="BA54:BA55" si="39">IF(N$20="CYA",0,N54)</f>
        <v>0</v>
      </c>
      <c r="BB54" s="280">
        <f t="shared" ref="BB54:BB55" si="40">IF(O$20="CYA",0,O54)</f>
        <v>0</v>
      </c>
      <c r="BC54" s="280">
        <f t="shared" ref="BC54:BC55" si="41">IF(P$20="CYA",0,P54)</f>
        <v>0</v>
      </c>
      <c r="BD54" s="280">
        <f t="shared" ref="BD54:BD55" si="42">IF(Q$20="CYA",0,Q54)</f>
        <v>0</v>
      </c>
      <c r="BE54" s="280">
        <f t="shared" ref="BE54:BE55" si="43">IF(R$20="CYA",0,R54)</f>
        <v>0</v>
      </c>
      <c r="BF54" s="280">
        <f t="shared" ref="BF54:BF55" si="44">IF(S$20="CYA",0,S54)</f>
        <v>0</v>
      </c>
      <c r="BG54" s="280">
        <f t="shared" ref="BG54:BG55" si="45">IF(T$20="CYA",0,T54)</f>
        <v>0</v>
      </c>
      <c r="BH54" s="280">
        <f t="shared" ref="BH54:BH55" si="46">IF(U$20="CYA",0,U54)</f>
        <v>0</v>
      </c>
      <c r="BI54" s="280">
        <f t="shared" ref="BI54:BI55" si="47">IF(V$20="CYA",0,V54)</f>
        <v>0</v>
      </c>
      <c r="BJ54" s="90">
        <f>CB54</f>
        <v>0</v>
      </c>
      <c r="BK54" s="86">
        <v>0</v>
      </c>
    </row>
    <row r="55" spans="1:63" ht="18" thickTop="1" thickBot="1">
      <c r="A55" s="105"/>
      <c r="B55" s="106"/>
      <c r="C55" s="112" t="str">
        <f>C54</f>
        <v>ACCT.FSDetail='R_OthPtRev'</v>
      </c>
      <c r="D55" s="110" t="s">
        <v>411</v>
      </c>
      <c r="E55" s="112"/>
      <c r="F55" s="58"/>
      <c r="G55" s="95" t="s">
        <v>329</v>
      </c>
      <c r="H55" s="58"/>
      <c r="I55" s="71"/>
      <c r="J55" s="67"/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89">
        <f t="shared" si="36"/>
        <v>0</v>
      </c>
      <c r="T55" s="89">
        <f t="shared" si="36"/>
        <v>0</v>
      </c>
      <c r="U55" s="89">
        <f t="shared" si="36"/>
        <v>0</v>
      </c>
      <c r="V55" s="89">
        <f t="shared" si="36"/>
        <v>0</v>
      </c>
      <c r="W55" s="96">
        <f>SUM(K55:V55)</f>
        <v>0</v>
      </c>
      <c r="X55" s="96"/>
      <c r="Y55" s="96"/>
      <c r="Z55" s="96"/>
      <c r="AA55" s="96"/>
      <c r="AB55" s="96"/>
      <c r="AC55" s="96" cm="1">
        <f t="array" ref="AC55">IF(AC$8="",0,_xll.GetData(AC$8,$AQ55))</f>
        <v>0</v>
      </c>
      <c r="AD55" s="96" cm="1">
        <f t="array" ref="AD55">IF(AD$8="",0,_xll.GetData(AD$8,$AQ55))</f>
        <v>0</v>
      </c>
      <c r="AE55" s="96" cm="1">
        <f t="array" ref="AE55">IF(AE$8="",0,_xll.GetData(AE$8,$AQ55))</f>
        <v>0</v>
      </c>
      <c r="AF55" s="96" cm="1">
        <f t="array" ref="AF55">IF(AF$8="",0,_xll.GetData(AF$8,$AQ55))</f>
        <v>0</v>
      </c>
      <c r="AG55" s="96" cm="1">
        <f t="array" ref="AG55">IF(AG$8="",0,_xll.GetData(AG$8,$AQ55))</f>
        <v>0</v>
      </c>
      <c r="AH55" s="96" cm="1">
        <f t="array" ref="AH55">IF(AH$8="",0,_xll.GetData(AH$8,$AQ55))</f>
        <v>0</v>
      </c>
      <c r="AI55" s="96" cm="1">
        <f t="array" ref="AI55">IF(AI$8="",0,_xll.GetData(AI$8,$AQ55))</f>
        <v>0</v>
      </c>
      <c r="AJ55" s="96" cm="1">
        <f t="array" ref="AJ55">IF(AJ$8="",0,_xll.GetData(AJ$8,$AQ55))</f>
        <v>0</v>
      </c>
      <c r="AK55" s="96" cm="1">
        <f t="array" ref="AK55">IF(AK$8="",0,_xll.GetData(AK$8,$AQ55))</f>
        <v>0</v>
      </c>
      <c r="AL55" s="96" cm="1">
        <f t="array" ref="AL55">IF(AL$8="",0,_xll.GetData(AL$8,$AQ55))</f>
        <v>0</v>
      </c>
      <c r="AM55" s="96" cm="1">
        <f t="array" ref="AM55">IF(AM$8="",0,_xll.GetData(AM$8,$AQ55))</f>
        <v>0</v>
      </c>
      <c r="AN55" s="96" cm="1">
        <f t="array" ref="AN55">IF(AN$8="",0,_xll.GetData(AN$8,$AQ55))</f>
        <v>0</v>
      </c>
      <c r="AO55" s="69"/>
      <c r="AP55" s="111">
        <f>AP56</f>
        <v>19</v>
      </c>
      <c r="AQ55" s="111" t="str">
        <f>"Dept="&amp;AU55&amp;" And Acct="&amp;AV55</f>
        <v>Dept=0 And Acct=34000</v>
      </c>
      <c r="AR55" s="167"/>
      <c r="AS55" s="167" t="str">
        <f>IF(OR(AU55=0,AV55=0),"NoSave","[Save]")</f>
        <v>NoSave</v>
      </c>
      <c r="AT55" s="167"/>
      <c r="AU55" s="111">
        <f>AU56</f>
        <v>0</v>
      </c>
      <c r="AV55" s="111">
        <f>AV56</f>
        <v>34000</v>
      </c>
      <c r="AW55" s="111">
        <v>1</v>
      </c>
      <c r="AX55" s="281">
        <f>IF(K$20="CYA",0,K55)</f>
        <v>0</v>
      </c>
      <c r="AY55" s="281">
        <f t="shared" si="37"/>
        <v>0</v>
      </c>
      <c r="AZ55" s="281">
        <f t="shared" si="38"/>
        <v>0</v>
      </c>
      <c r="BA55" s="281">
        <f t="shared" si="39"/>
        <v>0</v>
      </c>
      <c r="BB55" s="281">
        <f t="shared" si="40"/>
        <v>0</v>
      </c>
      <c r="BC55" s="281">
        <f t="shared" si="41"/>
        <v>0</v>
      </c>
      <c r="BD55" s="281">
        <f t="shared" si="42"/>
        <v>0</v>
      </c>
      <c r="BE55" s="281">
        <f t="shared" si="43"/>
        <v>0</v>
      </c>
      <c r="BF55" s="281">
        <f t="shared" si="44"/>
        <v>0</v>
      </c>
      <c r="BG55" s="281">
        <f t="shared" si="45"/>
        <v>0</v>
      </c>
      <c r="BH55" s="281">
        <f t="shared" si="46"/>
        <v>0</v>
      </c>
      <c r="BI55" s="281">
        <f t="shared" si="47"/>
        <v>0</v>
      </c>
      <c r="BJ55" s="89">
        <f>CB55</f>
        <v>0</v>
      </c>
      <c r="BK55" s="96">
        <v>0</v>
      </c>
    </row>
    <row r="56" spans="1:63" ht="17.399999999999999" thickTop="1">
      <c r="A56" s="105"/>
      <c r="B56" s="106" t="str">
        <f>C53</f>
        <v>R_OthPtRev</v>
      </c>
      <c r="C56" s="112" t="s">
        <v>268</v>
      </c>
      <c r="D56" s="110"/>
      <c r="E56" s="112"/>
      <c r="F56" s="74"/>
      <c r="G56" s="100" t="str">
        <f>"   Total "&amp;G53</f>
        <v xml:space="preserve">   Total Other Patient Revenue</v>
      </c>
      <c r="H56" s="100"/>
      <c r="I56" s="100"/>
      <c r="J56" s="116"/>
      <c r="K56" s="116">
        <f>IF(K$20 ="CYA",K53,K53*(1+K54)+K55)</f>
        <v>18149618.300000001</v>
      </c>
      <c r="L56" s="116">
        <f>IF(L$20 ="CYA",L53,L53*(1+L54)+L55)</f>
        <v>17524224.239999998</v>
      </c>
      <c r="M56" s="116">
        <f>IF(M$20 ="CYA",M53,M53*(1+M54)+M55)</f>
        <v>20994558.43</v>
      </c>
      <c r="N56" s="116">
        <f>IF(N$20 ="CYA",N53,N53*(1+N54)+N55)</f>
        <v>19002267.800000001</v>
      </c>
      <c r="O56" s="116">
        <f>IF(O$20 ="CYA",O53,O53*(1+O54)+O55)</f>
        <v>19223078.399999999</v>
      </c>
      <c r="P56" s="116">
        <f>IF(P$20 ="CYA",P53,P53*(1+P54)+P55)</f>
        <v>19002038.436949536</v>
      </c>
      <c r="Q56" s="116">
        <f>IF(Q$20 ="CYA",Q53,Q53*(1+Q54)+Q55)</f>
        <v>18868403.479936425</v>
      </c>
      <c r="R56" s="116">
        <f>IF(R$20 ="CYA",R53,R53*(1+R54)+R55)</f>
        <v>18122604.520251896</v>
      </c>
      <c r="S56" s="116">
        <f>IF(S$20 ="CYA",S53,S53*(1+S54)+S55)</f>
        <v>18779657.150485151</v>
      </c>
      <c r="T56" s="116">
        <f>IF(T$20 ="CYA",T53,T53*(1+T54)+T55)</f>
        <v>18668006.059059858</v>
      </c>
      <c r="U56" s="116">
        <f>IF(U$20 ="CYA",U53,U53*(1+U54)+U55)</f>
        <v>18812176.855634719</v>
      </c>
      <c r="V56" s="116">
        <f>IF(V$20 ="CYA",V53,V53*(1+V54)+V55)</f>
        <v>18657454.924877454</v>
      </c>
      <c r="W56" s="116">
        <f>SUM(K56:V56)</f>
        <v>225804088.59719503</v>
      </c>
      <c r="X56" s="116"/>
      <c r="Y56" s="116">
        <f>SUM(Y53:Y55)</f>
        <v>225163991.82464477</v>
      </c>
      <c r="Z56" s="101">
        <f>W56-Y56</f>
        <v>640096.77255025506</v>
      </c>
      <c r="AA56" s="102">
        <f>IF(Y56=0,0,Z56/Y56)</f>
        <v>2.8428025607609379E-3</v>
      </c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67"/>
      <c r="AP56" s="111">
        <f>ROW(Control!D19)</f>
        <v>19</v>
      </c>
      <c r="AQ56" s="111"/>
      <c r="AR56" s="167"/>
      <c r="AS56" s="167"/>
      <c r="AT56" s="167" t="str">
        <f>IF(OR(AU56=0,AV56=0),"NoSave","[Save]")</f>
        <v>NoSave</v>
      </c>
      <c r="AU56" s="111" cm="1">
        <f t="array" ref="AU56">INDEX(Control!G$1:G$9997,$AP56)</f>
        <v>0</v>
      </c>
      <c r="AV56" s="111" cm="1">
        <f t="array" ref="AV56">INDEX(Control!I$1:I$9997,$AP56)</f>
        <v>34000</v>
      </c>
      <c r="AW56" s="111">
        <v>1</v>
      </c>
      <c r="AX56" s="281">
        <f>IF(K$20="CYA",0,K56-K53)</f>
        <v>0</v>
      </c>
      <c r="AY56" s="281">
        <f t="shared" ref="AY56" si="48">IF(L$20="CYA",0,L56-L53)</f>
        <v>0</v>
      </c>
      <c r="AZ56" s="281">
        <f t="shared" ref="AZ56" si="49">IF(M$20="CYA",0,M56-M53)</f>
        <v>0</v>
      </c>
      <c r="BA56" s="281">
        <f t="shared" ref="BA56" si="50">IF(N$20="CYA",0,N56-N53)</f>
        <v>0</v>
      </c>
      <c r="BB56" s="281">
        <f t="shared" ref="BB56" si="51">IF(O$20="CYA",0,O56-O53)</f>
        <v>0</v>
      </c>
      <c r="BC56" s="281">
        <f t="shared" ref="BC56" si="52">IF(P$20="CYA",0,P56-P53)</f>
        <v>0</v>
      </c>
      <c r="BD56" s="281">
        <f t="shared" ref="BD56" si="53">IF(Q$20="CYA",0,Q56-Q53)</f>
        <v>0</v>
      </c>
      <c r="BE56" s="281">
        <f t="shared" ref="BE56" si="54">IF(R$20="CYA",0,R56-R53)</f>
        <v>0</v>
      </c>
      <c r="BF56" s="281">
        <f t="shared" ref="BF56" si="55">IF(S$20="CYA",0,S56-S53)</f>
        <v>0</v>
      </c>
      <c r="BG56" s="281">
        <f t="shared" ref="BG56" si="56">IF(T$20="CYA",0,T56-T53)</f>
        <v>0</v>
      </c>
      <c r="BH56" s="281">
        <f t="shared" ref="BH56" si="57">IF(U$20="CYA",0,U56-U53)</f>
        <v>0</v>
      </c>
      <c r="BI56" s="281">
        <f t="shared" ref="BI56" si="58">IF(V$20="CYA",0,V56-V53)</f>
        <v>0</v>
      </c>
    </row>
    <row r="57" spans="1:63" s="55" customFormat="1" ht="16.8">
      <c r="A57" s="105"/>
      <c r="B57" s="106"/>
      <c r="C57" s="112"/>
      <c r="D57" s="110"/>
      <c r="E57" s="112"/>
      <c r="F57" s="74"/>
      <c r="G57" s="100" t="s">
        <v>507</v>
      </c>
      <c r="H57" s="100"/>
      <c r="I57" s="100"/>
      <c r="J57" s="147"/>
      <c r="K57" s="150">
        <f>IF(K$59=0,0,K56/K$59)</f>
        <v>0.30774239872192199</v>
      </c>
      <c r="L57" s="150">
        <f>IF(L$59=0,0,L56/L$59)</f>
        <v>0.28995369500563462</v>
      </c>
      <c r="M57" s="150">
        <f>IF(M$59=0,0,M56/M$59)</f>
        <v>0.3422429132690995</v>
      </c>
      <c r="N57" s="150">
        <f>IF(N$59=0,0,N56/N$59)</f>
        <v>0.31516132695204763</v>
      </c>
      <c r="O57" s="150">
        <f>IF(O$59=0,0,O56/O$59)</f>
        <v>0.31288598410290169</v>
      </c>
      <c r="P57" s="150">
        <f>IF(P$59=0,0,P56/P$59)</f>
        <v>0.45051227210504807</v>
      </c>
      <c r="Q57" s="150">
        <f>IF(Q$59=0,0,Q56/Q$59)</f>
        <v>0.4300944126039285</v>
      </c>
      <c r="R57" s="150">
        <f>IF(R$59=0,0,R56/R$59)</f>
        <v>0.40468658972134408</v>
      </c>
      <c r="S57" s="150">
        <f>IF(S$59=0,0,S56/S$59)</f>
        <v>0.41176752041316705</v>
      </c>
      <c r="T57" s="150">
        <f>IF(T$59=0,0,T56/T$59)</f>
        <v>0.39613896871082882</v>
      </c>
      <c r="U57" s="150">
        <f>IF(U$59=0,0,U56/U$59)</f>
        <v>0.379163477826506</v>
      </c>
      <c r="V57" s="150">
        <f>IF(V$59=0,0,V56/V$59)</f>
        <v>0.36322130150320631</v>
      </c>
      <c r="W57" s="150">
        <f>IF(W$59=0,0,W56/W$59)</f>
        <v>0.36011384977998501</v>
      </c>
      <c r="X57" s="147"/>
      <c r="Y57" s="150">
        <f>IF(Y$59=0,0,Y56/Y$59)</f>
        <v>0.36473469425428012</v>
      </c>
      <c r="Z57" s="101"/>
      <c r="AA57" s="102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67"/>
      <c r="AP57" s="111"/>
      <c r="AQ57" s="111"/>
      <c r="AR57" s="167"/>
      <c r="AS57" s="167"/>
      <c r="AT57" s="167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</row>
    <row r="58" spans="1:63" ht="16.8">
      <c r="A58" s="105"/>
      <c r="B58" s="106"/>
      <c r="C58" s="112"/>
      <c r="D58" s="110"/>
      <c r="E58" s="112"/>
      <c r="F58" s="74"/>
      <c r="G58" s="75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83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167"/>
      <c r="AS58" s="167"/>
      <c r="AT58" s="167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</row>
    <row r="59" spans="1:63" ht="16.8">
      <c r="A59" s="105"/>
      <c r="B59" s="106"/>
      <c r="C59" s="112"/>
      <c r="D59" s="110"/>
      <c r="E59" s="112"/>
      <c r="F59" s="58"/>
      <c r="G59" s="100" t="s">
        <v>272</v>
      </c>
      <c r="H59" s="100"/>
      <c r="I59" s="100"/>
      <c r="J59" s="116"/>
      <c r="K59" s="116">
        <f>SUM(K44,K50,K56)</f>
        <v>58976658.320000008</v>
      </c>
      <c r="L59" s="116">
        <f>SUM(L44,L50,L56)</f>
        <v>60438009.730000004</v>
      </c>
      <c r="M59" s="116">
        <f>SUM(M44,M50,M56)</f>
        <v>61344026.759999998</v>
      </c>
      <c r="N59" s="116">
        <f>SUM(N44,N50,N56)</f>
        <v>60293780.280000001</v>
      </c>
      <c r="O59" s="116">
        <f>SUM(O44,O50,O56)</f>
        <v>61437965.829999998</v>
      </c>
      <c r="P59" s="116">
        <f>SUM(P44,P50,P56)</f>
        <v>42178736.548421353</v>
      </c>
      <c r="Q59" s="116">
        <f>SUM(Q44,Q50,Q56)</f>
        <v>43870375.72913608</v>
      </c>
      <c r="R59" s="116">
        <f>SUM(R44,R50,R56)</f>
        <v>44781826.184877083</v>
      </c>
      <c r="S59" s="116">
        <f>SUM(S44,S50,S56)</f>
        <v>45607427.054085433</v>
      </c>
      <c r="T59" s="116">
        <f>SUM(T44,T50,T56)</f>
        <v>47124891.85250295</v>
      </c>
      <c r="U59" s="116">
        <f>SUM(U44,U50,U56)</f>
        <v>49614949.634581141</v>
      </c>
      <c r="V59" s="116">
        <f>SUM(V44,V50,V56)</f>
        <v>51366631.988990754</v>
      </c>
      <c r="W59" s="116">
        <f>SUM(W44,W50,W56)</f>
        <v>627035279.9125948</v>
      </c>
      <c r="X59" s="116"/>
      <c r="Y59" s="101">
        <f>SUM(Y44,Y50,Y56)</f>
        <v>617336369.06959116</v>
      </c>
      <c r="Z59" s="101">
        <f>W59-Y59</f>
        <v>9698910.8430036306</v>
      </c>
      <c r="AA59" s="102">
        <f>IF(Y59=0,0,Z59/Y59)</f>
        <v>1.5710901429023521E-2</v>
      </c>
      <c r="AB59" s="101"/>
      <c r="AC59" s="101">
        <f t="shared" ref="AC59:AN59" si="59">SUM(AC44,AC50,AC56)</f>
        <v>0</v>
      </c>
      <c r="AD59" s="101">
        <f t="shared" si="59"/>
        <v>0</v>
      </c>
      <c r="AE59" s="101">
        <f t="shared" si="59"/>
        <v>0</v>
      </c>
      <c r="AF59" s="101">
        <f t="shared" si="59"/>
        <v>0</v>
      </c>
      <c r="AG59" s="101">
        <f t="shared" si="59"/>
        <v>0</v>
      </c>
      <c r="AH59" s="101">
        <f t="shared" si="59"/>
        <v>0</v>
      </c>
      <c r="AI59" s="101">
        <f t="shared" si="59"/>
        <v>0</v>
      </c>
      <c r="AJ59" s="101">
        <f t="shared" si="59"/>
        <v>0</v>
      </c>
      <c r="AK59" s="101">
        <f t="shared" si="59"/>
        <v>0</v>
      </c>
      <c r="AL59" s="101">
        <f t="shared" si="59"/>
        <v>0</v>
      </c>
      <c r="AM59" s="101">
        <f t="shared" si="59"/>
        <v>0</v>
      </c>
      <c r="AN59" s="101">
        <f t="shared" si="59"/>
        <v>0</v>
      </c>
      <c r="AO59" s="67"/>
      <c r="AR59" s="167"/>
      <c r="AS59" s="167"/>
      <c r="AT59" s="167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</row>
    <row r="60" spans="1:63" ht="16.8">
      <c r="A60" s="105"/>
      <c r="B60" s="106"/>
      <c r="C60" s="112"/>
      <c r="D60" s="110"/>
      <c r="E60" s="112"/>
      <c r="F60" s="58"/>
      <c r="G60" s="68"/>
      <c r="H60" s="67"/>
      <c r="I60" s="67"/>
      <c r="J60" s="67"/>
      <c r="K60" s="96"/>
      <c r="L60" s="96"/>
      <c r="M60" s="96"/>
      <c r="N60" s="96"/>
      <c r="O60" s="96"/>
      <c r="P60" s="96"/>
      <c r="Q60" s="67"/>
      <c r="R60" s="67"/>
      <c r="S60" s="67"/>
      <c r="T60" s="67"/>
      <c r="U60" s="67"/>
      <c r="V60" s="67"/>
      <c r="W60" s="67"/>
      <c r="X60" s="53"/>
      <c r="AR60" s="167"/>
      <c r="AS60" s="167"/>
      <c r="AT60" s="167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</row>
    <row r="61" spans="1:63" ht="16.8">
      <c r="A61" s="105"/>
      <c r="B61" s="106"/>
      <c r="C61" s="112"/>
      <c r="D61" s="110"/>
      <c r="E61" s="112"/>
      <c r="F61" s="58"/>
      <c r="G61" s="94" t="s">
        <v>222</v>
      </c>
      <c r="H61" s="94"/>
      <c r="I61" s="94"/>
      <c r="J61" s="94"/>
      <c r="K61" s="96"/>
      <c r="L61" s="96"/>
      <c r="M61" s="96"/>
      <c r="N61" s="96"/>
      <c r="O61" s="96"/>
      <c r="P61" s="96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R61" s="167"/>
      <c r="AS61" s="167"/>
      <c r="AT61" s="167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</row>
    <row r="62" spans="1:63" ht="16.8">
      <c r="A62" s="105"/>
      <c r="B62" s="106"/>
      <c r="C62" s="112"/>
      <c r="D62" s="110"/>
      <c r="E62" s="112"/>
      <c r="F62" s="58"/>
      <c r="G62" s="95"/>
      <c r="H62" s="67"/>
      <c r="I62" s="67"/>
      <c r="J62" s="67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67"/>
      <c r="X62" s="53"/>
      <c r="AR62" s="167"/>
      <c r="AS62" s="167"/>
      <c r="AT62" s="167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</row>
    <row r="63" spans="1:63" ht="16.8">
      <c r="A63" s="105" t="str">
        <f>C63</f>
        <v>D_Contractual</v>
      </c>
      <c r="B63" s="106"/>
      <c r="C63" s="112" t="s">
        <v>332</v>
      </c>
      <c r="D63" s="110"/>
      <c r="E63" s="112"/>
      <c r="F63" s="58"/>
      <c r="G63" s="95" t="s">
        <v>223</v>
      </c>
      <c r="H63" s="46"/>
      <c r="I63" s="67"/>
      <c r="J63" s="67"/>
      <c r="K63" s="96">
        <v>31441494.959589191</v>
      </c>
      <c r="L63" s="96">
        <v>31967196.96642423</v>
      </c>
      <c r="M63" s="96">
        <v>32474486.456958719</v>
      </c>
      <c r="N63" s="96">
        <v>31843269.509818047</v>
      </c>
      <c r="O63" s="96">
        <v>30825513.712056991</v>
      </c>
      <c r="P63" s="96">
        <v>17486767.337537594</v>
      </c>
      <c r="Q63" s="96">
        <v>16916474.179099966</v>
      </c>
      <c r="R63" s="96">
        <v>18435642.182647608</v>
      </c>
      <c r="S63" s="96">
        <v>19112002.093696717</v>
      </c>
      <c r="T63" s="96">
        <v>19590673.744444087</v>
      </c>
      <c r="U63" s="96">
        <v>22269505.19353231</v>
      </c>
      <c r="V63" s="96">
        <v>23594205.77976346</v>
      </c>
      <c r="W63" s="96">
        <f>SUM(K63:V63)</f>
        <v>295957232.11556894</v>
      </c>
      <c r="X63" s="96"/>
      <c r="Y63" s="96">
        <v>265926568.62620932</v>
      </c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46"/>
      <c r="AP63" s="46"/>
      <c r="AQ63" s="46"/>
      <c r="AR63" s="167"/>
      <c r="AS63" s="167"/>
      <c r="AT63" s="167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</row>
    <row r="64" spans="1:63" ht="17.399999999999999" thickBot="1">
      <c r="A64" s="105"/>
      <c r="B64" s="106"/>
      <c r="C64" s="112"/>
      <c r="D64" s="110"/>
      <c r="E64" s="112"/>
      <c r="F64" s="58"/>
      <c r="G64" s="95" t="s">
        <v>333</v>
      </c>
      <c r="H64" s="46"/>
      <c r="I64" s="67"/>
      <c r="J64" s="67"/>
      <c r="K64" s="97">
        <f>IF(K$20="CYA",IF(K$59=0,0,K63/K$59),0)</f>
        <v>0.5331176071216438</v>
      </c>
      <c r="L64" s="97">
        <f>IF(L$20="CYA",IF(L$59=0,0,L63/L$59),AVERAGE($K64:K64))</f>
        <v>0.5289253750948133</v>
      </c>
      <c r="M64" s="97">
        <f>IF(M$20="CYA",IF(M$59=0,0,M63/M$59),AVERAGE($K64:L64))</f>
        <v>0.52938302508263191</v>
      </c>
      <c r="N64" s="97">
        <f>IF(N$20="CYA",IF(N$59=0,0,N63/N$59),AVERAGE($K64:M64))</f>
        <v>0.52813522990166117</v>
      </c>
      <c r="O64" s="97">
        <f>IF(O$20="CYA",IF(O$59=0,0,O63/O$59),AVERAGE($K64:N64))</f>
        <v>0.50173395709994317</v>
      </c>
      <c r="P64" s="97">
        <f>IF(P$20="CYA",IF(P$59=0,0,P63/P$59),AVERAGE($K64:O64))</f>
        <v>0.41458727236797899</v>
      </c>
      <c r="Q64" s="97">
        <f>IF(Q$20="CYA",IF(Q$59=0,0,Q63/Q$59),AVERAGE($K64:P64))</f>
        <v>0.38560130607372611</v>
      </c>
      <c r="R64" s="97">
        <f>IF(R$20="CYA",IF(R$59=0,0,R63/R$59),AVERAGE($K64:Q64))</f>
        <v>0.41167687325965646</v>
      </c>
      <c r="S64" s="97">
        <f>IF(S$20="CYA",IF(S$59=0,0,S63/S$59),AVERAGE($K64:R64))</f>
        <v>0.47914508075025686</v>
      </c>
      <c r="T64" s="97">
        <f>IF(T$20="CYA",IF(T$59=0,0,T63/T$59),AVERAGE($K64:S64))</f>
        <v>0.47914508075025686</v>
      </c>
      <c r="U64" s="97">
        <f>IF(U$20="CYA",IF(U$59=0,0,U63/U$59),AVERAGE($K64:T64))</f>
        <v>0.47914508075025691</v>
      </c>
      <c r="V64" s="97">
        <f>IF(V$20="CYA",IF(V$59=0,0,V63/V$59),AVERAGE($K64:U64))</f>
        <v>0.47914508075025691</v>
      </c>
      <c r="W64" s="97">
        <f>IF(W$40=0,0,W63/W$40)</f>
        <v>0</v>
      </c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46"/>
      <c r="AP64" s="46"/>
      <c r="AQ64" s="46"/>
      <c r="AR64" s="167"/>
      <c r="AS64" s="167"/>
      <c r="AT64" s="167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</row>
    <row r="65" spans="1:63" ht="18" thickTop="1" thickBot="1">
      <c r="A65" s="113"/>
      <c r="B65" s="114"/>
      <c r="C65" s="112" t="str">
        <f>"ACCT.FSDetail='"&amp;C63&amp;"'"</f>
        <v>ACCT.FSDetail='D_Contractual'</v>
      </c>
      <c r="D65" s="110" t="s">
        <v>411</v>
      </c>
      <c r="E65" s="112"/>
      <c r="F65" s="58"/>
      <c r="G65" s="95" t="s">
        <v>328</v>
      </c>
      <c r="H65" s="58"/>
      <c r="I65" s="46"/>
      <c r="J65" s="117"/>
      <c r="K65" s="86">
        <v>0</v>
      </c>
      <c r="L65" s="86">
        <v>0</v>
      </c>
      <c r="M65" s="86">
        <v>0</v>
      </c>
      <c r="N65" s="86">
        <v>0</v>
      </c>
      <c r="O65" s="86">
        <v>0</v>
      </c>
      <c r="P65" s="86">
        <v>0</v>
      </c>
      <c r="Q65" s="86">
        <v>0</v>
      </c>
      <c r="R65" s="86">
        <v>0</v>
      </c>
      <c r="S65" s="90">
        <f t="shared" ref="S65:V66" si="60">AK65</f>
        <v>0</v>
      </c>
      <c r="T65" s="90">
        <f t="shared" si="60"/>
        <v>0</v>
      </c>
      <c r="U65" s="90">
        <f t="shared" si="60"/>
        <v>0</v>
      </c>
      <c r="V65" s="90">
        <f t="shared" si="60"/>
        <v>0</v>
      </c>
      <c r="W65" s="97">
        <f>IF(W68=0,0,1-(SUM(W67,W63)/W68))</f>
        <v>0</v>
      </c>
      <c r="X65" s="97"/>
      <c r="Y65" s="97"/>
      <c r="Z65" s="97"/>
      <c r="AA65" s="97"/>
      <c r="AB65" s="97"/>
      <c r="AC65" s="97" cm="1">
        <f t="array" ref="AC65">IF(AC$7="",0,_xll.GetData(AC$7,$AQ65))</f>
        <v>0</v>
      </c>
      <c r="AD65" s="97" cm="1">
        <f t="array" ref="AD65">IF(AD$7="",0,_xll.GetData(AD$7,$AQ65))</f>
        <v>0</v>
      </c>
      <c r="AE65" s="97" cm="1">
        <f t="array" ref="AE65">IF(AE$7="",0,_xll.GetData(AE$7,$AQ65))</f>
        <v>0</v>
      </c>
      <c r="AF65" s="97" cm="1">
        <f t="array" ref="AF65">IF(AF$7="",0,_xll.GetData(AF$7,$AQ65))</f>
        <v>0</v>
      </c>
      <c r="AG65" s="97" cm="1">
        <f t="array" ref="AG65">IF(AG$7="",0,_xll.GetData(AG$7,$AQ65))</f>
        <v>0</v>
      </c>
      <c r="AH65" s="97" cm="1">
        <f t="array" ref="AH65">IF(AH$7="",0,_xll.GetData(AH$7,$AQ65))</f>
        <v>0</v>
      </c>
      <c r="AI65" s="97" cm="1">
        <f t="array" ref="AI65">IF(AI$7="",0,_xll.GetData(AI$7,$AQ65))</f>
        <v>0</v>
      </c>
      <c r="AJ65" s="97" cm="1">
        <f t="array" ref="AJ65">IF(AJ$7="",0,_xll.GetData(AJ$7,$AQ65))</f>
        <v>0</v>
      </c>
      <c r="AK65" s="97" cm="1">
        <f t="array" ref="AK65">IF(AK$7="",0,_xll.GetData(AK$7,$AQ65))</f>
        <v>0</v>
      </c>
      <c r="AL65" s="97" cm="1">
        <f t="array" ref="AL65">IF(AL$7="",0,_xll.GetData(AL$7,$AQ65))</f>
        <v>0</v>
      </c>
      <c r="AM65" s="97" cm="1">
        <f t="array" ref="AM65">IF(AM$7="",0,_xll.GetData(AM$7,$AQ65))</f>
        <v>0</v>
      </c>
      <c r="AN65" s="97" cm="1">
        <f t="array" ref="AN65">IF(AN$7="",0,_xll.GetData(AN$7,$AQ65))</f>
        <v>0</v>
      </c>
      <c r="AO65" s="69"/>
      <c r="AP65" s="111">
        <f>AP68</f>
        <v>24</v>
      </c>
      <c r="AQ65" s="111" t="str">
        <f>"Dept="&amp;AU65&amp;" And Acct="&amp;AV65</f>
        <v>Dept=0 And Acct=59999</v>
      </c>
      <c r="AR65" s="167" t="str">
        <f>IF(OR(AU65=0,AV65=0),"NoSave","[Save]")</f>
        <v>NoSave</v>
      </c>
      <c r="AS65" s="167"/>
      <c r="AT65" s="167"/>
      <c r="AU65" s="111">
        <f>AU68</f>
        <v>0</v>
      </c>
      <c r="AV65" s="111">
        <f>AV68</f>
        <v>59999</v>
      </c>
      <c r="AW65" s="111">
        <v>1</v>
      </c>
      <c r="AX65" s="280">
        <f>IF(K$20="CYA",0,K65)</f>
        <v>0</v>
      </c>
      <c r="AY65" s="280">
        <f t="shared" ref="AY65:AY66" si="61">IF(L$20="CYA",0,L65)</f>
        <v>0</v>
      </c>
      <c r="AZ65" s="280">
        <f t="shared" ref="AZ65:AZ66" si="62">IF(M$20="CYA",0,M65)</f>
        <v>0</v>
      </c>
      <c r="BA65" s="280">
        <f t="shared" ref="BA65:BA66" si="63">IF(N$20="CYA",0,N65)</f>
        <v>0</v>
      </c>
      <c r="BB65" s="280">
        <f t="shared" ref="BB65:BB66" si="64">IF(O$20="CYA",0,O65)</f>
        <v>0</v>
      </c>
      <c r="BC65" s="280">
        <f t="shared" ref="BC65:BC66" si="65">IF(P$20="CYA",0,P65)</f>
        <v>0</v>
      </c>
      <c r="BD65" s="280">
        <f t="shared" ref="BD65:BD66" si="66">IF(Q$20="CYA",0,Q65)</f>
        <v>0</v>
      </c>
      <c r="BE65" s="280">
        <f t="shared" ref="BE65:BE66" si="67">IF(R$20="CYA",0,R65)</f>
        <v>0</v>
      </c>
      <c r="BF65" s="280">
        <f t="shared" ref="BF65:BF66" si="68">IF(S$20="CYA",0,S65)</f>
        <v>0</v>
      </c>
      <c r="BG65" s="280">
        <f t="shared" ref="BG65:BG66" si="69">IF(T$20="CYA",0,T65)</f>
        <v>0</v>
      </c>
      <c r="BH65" s="280">
        <f t="shared" ref="BH65:BH66" si="70">IF(U$20="CYA",0,U65)</f>
        <v>0</v>
      </c>
      <c r="BI65" s="280">
        <f t="shared" ref="BI65:BI66" si="71">IF(V$20="CYA",0,V65)</f>
        <v>0</v>
      </c>
      <c r="BJ65" s="90">
        <f>CB65</f>
        <v>0</v>
      </c>
      <c r="BK65" s="86">
        <v>0</v>
      </c>
    </row>
    <row r="66" spans="1:63" s="55" customFormat="1" ht="18" thickTop="1" thickBot="1">
      <c r="A66" s="105"/>
      <c r="B66" s="106"/>
      <c r="C66" s="112" t="str">
        <f>C65</f>
        <v>ACCT.FSDetail='D_Contractual'</v>
      </c>
      <c r="D66" s="110" t="s">
        <v>411</v>
      </c>
      <c r="E66" s="112"/>
      <c r="F66" s="58"/>
      <c r="G66" s="95" t="s">
        <v>329</v>
      </c>
      <c r="H66" s="58"/>
      <c r="I66" s="71"/>
      <c r="J66" s="67"/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96">
        <v>0</v>
      </c>
      <c r="R66" s="96">
        <v>0</v>
      </c>
      <c r="S66" s="89">
        <f t="shared" si="60"/>
        <v>0</v>
      </c>
      <c r="T66" s="89">
        <f t="shared" si="60"/>
        <v>0</v>
      </c>
      <c r="U66" s="89">
        <f t="shared" si="60"/>
        <v>0</v>
      </c>
      <c r="V66" s="89">
        <f t="shared" si="60"/>
        <v>0</v>
      </c>
      <c r="W66" s="96">
        <f>SUM(K66:V66)</f>
        <v>0</v>
      </c>
      <c r="X66" s="96"/>
      <c r="Y66" s="96"/>
      <c r="Z66" s="96"/>
      <c r="AA66" s="96"/>
      <c r="AB66" s="96"/>
      <c r="AC66" s="96" cm="1">
        <f t="array" ref="AC66">IF(AC$8="",0,_xll.GetData(AC$8,$AQ66))</f>
        <v>0</v>
      </c>
      <c r="AD66" s="96" cm="1">
        <f t="array" ref="AD66">IF(AD$8="",0,_xll.GetData(AD$8,$AQ66))</f>
        <v>0</v>
      </c>
      <c r="AE66" s="96" cm="1">
        <f t="array" ref="AE66">IF(AE$8="",0,_xll.GetData(AE$8,$AQ66))</f>
        <v>0</v>
      </c>
      <c r="AF66" s="96" cm="1">
        <f t="array" ref="AF66">IF(AF$8="",0,_xll.GetData(AF$8,$AQ66))</f>
        <v>0</v>
      </c>
      <c r="AG66" s="96" cm="1">
        <f t="array" ref="AG66">IF(AG$8="",0,_xll.GetData(AG$8,$AQ66))</f>
        <v>0</v>
      </c>
      <c r="AH66" s="96" cm="1">
        <f t="array" ref="AH66">IF(AH$8="",0,_xll.GetData(AH$8,$AQ66))</f>
        <v>0</v>
      </c>
      <c r="AI66" s="96" cm="1">
        <f t="array" ref="AI66">IF(AI$8="",0,_xll.GetData(AI$8,$AQ66))</f>
        <v>0</v>
      </c>
      <c r="AJ66" s="96" cm="1">
        <f t="array" ref="AJ66">IF(AJ$8="",0,_xll.GetData(AJ$8,$AQ66))</f>
        <v>0</v>
      </c>
      <c r="AK66" s="96" cm="1">
        <f t="array" ref="AK66">IF(AK$8="",0,_xll.GetData(AK$8,$AQ66))</f>
        <v>0</v>
      </c>
      <c r="AL66" s="96" cm="1">
        <f t="array" ref="AL66">IF(AL$8="",0,_xll.GetData(AL$8,$AQ66))</f>
        <v>0</v>
      </c>
      <c r="AM66" s="96" cm="1">
        <f t="array" ref="AM66">IF(AM$8="",0,_xll.GetData(AM$8,$AQ66))</f>
        <v>0</v>
      </c>
      <c r="AN66" s="96" cm="1">
        <f t="array" ref="AN66">IF(AN$8="",0,_xll.GetData(AN$8,$AQ66))</f>
        <v>0</v>
      </c>
      <c r="AO66" s="69"/>
      <c r="AP66" s="111">
        <f>AP68</f>
        <v>24</v>
      </c>
      <c r="AQ66" s="111" t="str">
        <f>"Dept="&amp;AU66&amp;" And Acct="&amp;AV66</f>
        <v>Dept=0 And Acct=59999</v>
      </c>
      <c r="AR66" s="167"/>
      <c r="AS66" s="167" t="str">
        <f>IF(OR(AU66=0,AV66=0),"NoSave","[Save]")</f>
        <v>NoSave</v>
      </c>
      <c r="AT66" s="167"/>
      <c r="AU66" s="111">
        <f>AU68</f>
        <v>0</v>
      </c>
      <c r="AV66" s="111">
        <f>AV68</f>
        <v>59999</v>
      </c>
      <c r="AW66" s="111">
        <v>1</v>
      </c>
      <c r="AX66" s="281">
        <f>IF(K$20="CYA",0,K66)</f>
        <v>0</v>
      </c>
      <c r="AY66" s="281">
        <f t="shared" si="61"/>
        <v>0</v>
      </c>
      <c r="AZ66" s="281">
        <f t="shared" si="62"/>
        <v>0</v>
      </c>
      <c r="BA66" s="281">
        <f t="shared" si="63"/>
        <v>0</v>
      </c>
      <c r="BB66" s="281">
        <f t="shared" si="64"/>
        <v>0</v>
      </c>
      <c r="BC66" s="281">
        <f t="shared" si="65"/>
        <v>0</v>
      </c>
      <c r="BD66" s="281">
        <f t="shared" si="66"/>
        <v>0</v>
      </c>
      <c r="BE66" s="281">
        <f t="shared" si="67"/>
        <v>0</v>
      </c>
      <c r="BF66" s="281">
        <f t="shared" si="68"/>
        <v>0</v>
      </c>
      <c r="BG66" s="281">
        <f t="shared" si="69"/>
        <v>0</v>
      </c>
      <c r="BH66" s="281">
        <f t="shared" si="70"/>
        <v>0</v>
      </c>
      <c r="BI66" s="281">
        <f t="shared" si="71"/>
        <v>0</v>
      </c>
      <c r="BJ66" s="89">
        <f>CB66</f>
        <v>0</v>
      </c>
      <c r="BK66" s="96">
        <v>0</v>
      </c>
    </row>
    <row r="67" spans="1:63" ht="17.399999999999999" thickTop="1">
      <c r="A67" s="105"/>
      <c r="B67" s="106"/>
      <c r="C67" s="112"/>
      <c r="D67" s="110" t="s">
        <v>411</v>
      </c>
      <c r="E67" s="112"/>
      <c r="F67" s="58"/>
      <c r="G67" s="95" t="s">
        <v>425</v>
      </c>
      <c r="H67" s="58"/>
      <c r="I67" s="71"/>
      <c r="J67" s="67"/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>
        <f t="shared" ref="S67:V67" si="72">S63*S65+S66</f>
        <v>0</v>
      </c>
      <c r="T67" s="96">
        <f t="shared" si="72"/>
        <v>0</v>
      </c>
      <c r="U67" s="96">
        <f t="shared" si="72"/>
        <v>0</v>
      </c>
      <c r="V67" s="96">
        <f t="shared" si="72"/>
        <v>0</v>
      </c>
      <c r="W67" s="96">
        <f>SUM(K67:V67)</f>
        <v>0</v>
      </c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69"/>
      <c r="AP67" s="111"/>
      <c r="AQ67" s="111"/>
      <c r="AR67" s="167"/>
      <c r="AS67" s="167"/>
      <c r="AT67" s="167"/>
      <c r="AU67" s="111"/>
      <c r="AV67" s="111"/>
      <c r="AW67" s="111"/>
      <c r="AX67" s="281"/>
      <c r="AY67" s="281"/>
      <c r="AZ67" s="281"/>
      <c r="BA67" s="281"/>
      <c r="BB67" s="281"/>
      <c r="BC67" s="281"/>
      <c r="BD67" s="281"/>
      <c r="BE67" s="281"/>
      <c r="BF67" s="281"/>
      <c r="BG67" s="281"/>
      <c r="BH67" s="281"/>
      <c r="BI67" s="281"/>
      <c r="BJ67" s="96">
        <f>BJ63*BJ65+BJ66</f>
        <v>0</v>
      </c>
      <c r="BK67" s="96">
        <v>0</v>
      </c>
    </row>
    <row r="68" spans="1:63" ht="16.8">
      <c r="A68" s="105"/>
      <c r="B68" s="106" t="str">
        <f>C63</f>
        <v>D_Contractual</v>
      </c>
      <c r="C68" s="112"/>
      <c r="D68" s="110"/>
      <c r="E68" s="112"/>
      <c r="F68" s="74"/>
      <c r="G68" s="100" t="str">
        <f>"   Total "&amp;G63</f>
        <v xml:space="preserve">   Total Contractual Allowances</v>
      </c>
      <c r="H68" s="100"/>
      <c r="I68" s="100"/>
      <c r="J68" s="116"/>
      <c r="K68" s="116">
        <f>IF(K$20="CYA",K63,SUM(K63,K67))</f>
        <v>31441494.959589191</v>
      </c>
      <c r="L68" s="116">
        <f>IF(L$20="CYA",L63,SUM(L63,L67))</f>
        <v>31967196.96642423</v>
      </c>
      <c r="M68" s="116">
        <f>IF(M$20="CYA",M63,SUM(M63,M67))</f>
        <v>32474486.456958719</v>
      </c>
      <c r="N68" s="116">
        <f>IF(N$20="CYA",N63,SUM(N63,N67))</f>
        <v>31843269.509818047</v>
      </c>
      <c r="O68" s="116">
        <f>IF(O$20="CYA",O63,SUM(O63,O67))</f>
        <v>30825513.712056991</v>
      </c>
      <c r="P68" s="116">
        <f>IF(P$20="CYA",P63,SUM(P63,P67))</f>
        <v>17486767.337537594</v>
      </c>
      <c r="Q68" s="116">
        <f>IF(Q$20="CYA",Q63,SUM(Q63,Q67))</f>
        <v>16916474.179099966</v>
      </c>
      <c r="R68" s="116">
        <f>IF(R$20="CYA",R63,SUM(R63,R67))</f>
        <v>18435642.182647608</v>
      </c>
      <c r="S68" s="116">
        <f>IF(S$20="CYA",S63,SUM(S63,S67))</f>
        <v>19112002.093696717</v>
      </c>
      <c r="T68" s="116">
        <f>IF(T$20="CYA",T63,SUM(T63,T67))</f>
        <v>19590673.744444087</v>
      </c>
      <c r="U68" s="116">
        <f>IF(U$20="CYA",U63,SUM(U63,U67))</f>
        <v>22269505.19353231</v>
      </c>
      <c r="V68" s="116">
        <f>IF(V$20="CYA",V63,SUM(V63,V67))</f>
        <v>23594205.77976346</v>
      </c>
      <c r="W68" s="116">
        <f>SUM(K68:V68)</f>
        <v>295957232.11556894</v>
      </c>
      <c r="X68" s="116"/>
      <c r="Y68" s="116">
        <f>SUM(Y63:Y67)</f>
        <v>265926568.62620932</v>
      </c>
      <c r="Z68" s="101">
        <f>Y68-W68</f>
        <v>-30030663.489359617</v>
      </c>
      <c r="AA68" s="102">
        <f>IF(Y68=0,0,Z68/Y68)</f>
        <v>-0.11292840592987609</v>
      </c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67"/>
      <c r="AP68" s="111">
        <f>ROW(Control!D24)</f>
        <v>24</v>
      </c>
      <c r="AQ68" s="111"/>
      <c r="AR68" s="167"/>
      <c r="AS68" s="167"/>
      <c r="AT68" s="167" t="str">
        <f>IF(OR(AU68=0,AV68=0),"NoSave","[Save]")</f>
        <v>NoSave</v>
      </c>
      <c r="AU68" s="111" cm="1">
        <f t="array" ref="AU68">INDEX(Control!G$1:G$9997,$AP68)</f>
        <v>0</v>
      </c>
      <c r="AV68" s="111" cm="1">
        <f t="array" ref="AV68">INDEX(Control!I$1:I$9997,$AP68)</f>
        <v>59999</v>
      </c>
      <c r="AW68" s="111">
        <v>1</v>
      </c>
      <c r="AX68" s="281">
        <f>IF(K$20="CYA",0,K68-K63)</f>
        <v>0</v>
      </c>
      <c r="AY68" s="281">
        <f t="shared" ref="AY68:BI68" si="73">IF(L$20="CYA",0,L68-L63)</f>
        <v>0</v>
      </c>
      <c r="AZ68" s="281">
        <f t="shared" si="73"/>
        <v>0</v>
      </c>
      <c r="BA68" s="281">
        <f t="shared" si="73"/>
        <v>0</v>
      </c>
      <c r="BB68" s="281">
        <f t="shared" si="73"/>
        <v>0</v>
      </c>
      <c r="BC68" s="281">
        <f t="shared" si="73"/>
        <v>0</v>
      </c>
      <c r="BD68" s="281">
        <f t="shared" si="73"/>
        <v>0</v>
      </c>
      <c r="BE68" s="281">
        <f t="shared" si="73"/>
        <v>0</v>
      </c>
      <c r="BF68" s="281">
        <f t="shared" si="73"/>
        <v>0</v>
      </c>
      <c r="BG68" s="281">
        <f t="shared" si="73"/>
        <v>0</v>
      </c>
      <c r="BH68" s="281">
        <f t="shared" si="73"/>
        <v>0</v>
      </c>
      <c r="BI68" s="281">
        <f t="shared" si="73"/>
        <v>0</v>
      </c>
    </row>
    <row r="69" spans="1:63" s="55" customFormat="1" ht="16.8">
      <c r="A69" s="105"/>
      <c r="B69" s="106"/>
      <c r="C69" s="112"/>
      <c r="D69" s="110"/>
      <c r="E69" s="112"/>
      <c r="F69" s="74"/>
      <c r="G69" s="100" t="s">
        <v>507</v>
      </c>
      <c r="H69" s="100"/>
      <c r="I69" s="100"/>
      <c r="J69" s="147"/>
      <c r="K69" s="150">
        <f>IF(K$59=0,0,K68/K$59)</f>
        <v>0.5331176071216438</v>
      </c>
      <c r="L69" s="150">
        <f>IF(L$59=0,0,L68/L$59)</f>
        <v>0.5289253750948133</v>
      </c>
      <c r="M69" s="150">
        <f>IF(M$59=0,0,M68/M$59)</f>
        <v>0.52938302508263191</v>
      </c>
      <c r="N69" s="150">
        <f>IF(N$59=0,0,N68/N$59)</f>
        <v>0.52813522990166117</v>
      </c>
      <c r="O69" s="150">
        <f>IF(O$59=0,0,O68/O$59)</f>
        <v>0.50173395709994317</v>
      </c>
      <c r="P69" s="150">
        <f>IF(P$59=0,0,P68/P$59)</f>
        <v>0.41458727236797899</v>
      </c>
      <c r="Q69" s="150">
        <f>IF(Q$59=0,0,Q68/Q$59)</f>
        <v>0.38560130607372611</v>
      </c>
      <c r="R69" s="150">
        <f>IF(R$59=0,0,R68/R$59)</f>
        <v>0.41167687325965646</v>
      </c>
      <c r="S69" s="150">
        <f>IF(S$59=0,0,S68/S$59)</f>
        <v>0.41905459983594268</v>
      </c>
      <c r="T69" s="150">
        <f>IF(T$59=0,0,T68/T$59)</f>
        <v>0.41571816877079082</v>
      </c>
      <c r="U69" s="150">
        <f>IF(U$59=0,0,U68/U$59)</f>
        <v>0.44884667539822876</v>
      </c>
      <c r="V69" s="150">
        <f>IF(V$59=0,0,V68/V$59)</f>
        <v>0.45932942975160085</v>
      </c>
      <c r="W69" s="150">
        <f>IF(W$59=0,0,W68/W$59)</f>
        <v>0.47199454575637867</v>
      </c>
      <c r="X69" s="147"/>
      <c r="Y69" s="150">
        <f>IF(Y$59=0,0,Y68/Y$59)</f>
        <v>0.4307644615641168</v>
      </c>
      <c r="Z69" s="101"/>
      <c r="AA69" s="102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67"/>
      <c r="AP69" s="111"/>
      <c r="AQ69" s="111"/>
      <c r="AR69" s="167"/>
      <c r="AS69" s="167"/>
      <c r="AT69" s="167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</row>
    <row r="70" spans="1:63" ht="16.8">
      <c r="A70" s="105"/>
      <c r="B70" s="106"/>
      <c r="C70" s="112"/>
      <c r="D70" s="110"/>
      <c r="E70" s="112"/>
      <c r="F70" s="74"/>
      <c r="G70" s="95"/>
      <c r="H70" s="67"/>
      <c r="I70" s="67"/>
      <c r="J70" s="67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67"/>
      <c r="X70" s="83"/>
      <c r="Y70" s="76"/>
      <c r="Z70" s="76"/>
      <c r="AA70" s="97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167"/>
      <c r="AS70" s="167"/>
      <c r="AT70" s="167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</row>
    <row r="71" spans="1:63" ht="16.8">
      <c r="A71" s="105"/>
      <c r="B71" s="106"/>
      <c r="C71" s="112" t="s">
        <v>334</v>
      </c>
      <c r="D71" s="110"/>
      <c r="E71" s="112"/>
      <c r="F71" s="58"/>
      <c r="G71" s="95" t="s">
        <v>224</v>
      </c>
      <c r="H71" s="67"/>
      <c r="I71" s="67"/>
      <c r="J71" s="67"/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96">
        <v>0</v>
      </c>
      <c r="R71" s="96">
        <v>0</v>
      </c>
      <c r="S71" s="96">
        <v>0</v>
      </c>
      <c r="T71" s="96">
        <v>0</v>
      </c>
      <c r="U71" s="96">
        <v>0</v>
      </c>
      <c r="V71" s="96">
        <v>0</v>
      </c>
      <c r="W71" s="96">
        <f>SUM(K71:V71)</f>
        <v>0</v>
      </c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R71" s="167"/>
      <c r="AS71" s="167"/>
      <c r="AT71" s="167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</row>
    <row r="72" spans="1:63" ht="17.399999999999999" thickBot="1">
      <c r="A72" s="105"/>
      <c r="B72" s="106"/>
      <c r="C72" s="112"/>
      <c r="D72" s="110"/>
      <c r="E72" s="112"/>
      <c r="F72" s="58"/>
      <c r="G72" s="95" t="s">
        <v>333</v>
      </c>
      <c r="H72" s="46"/>
      <c r="I72" s="67"/>
      <c r="J72" s="67"/>
      <c r="K72" s="97">
        <f>IF(K$20="CYA",IF(K$59=0,0,K71/K$59),0)</f>
        <v>0</v>
      </c>
      <c r="L72" s="97">
        <f>IF(L$20="CYA",IF(L$59=0,0,L71/L$59),AVERAGE($K72:K72))</f>
        <v>0</v>
      </c>
      <c r="M72" s="97">
        <f>IF(M$20="CYA",IF(M$59=0,0,M71/M$59),AVERAGE($K72:L72))</f>
        <v>0</v>
      </c>
      <c r="N72" s="97">
        <f>IF(N$20="CYA",IF(N$59=0,0,N71/N$59),AVERAGE($K72:M72))</f>
        <v>0</v>
      </c>
      <c r="O72" s="97">
        <f>IF(O$20="CYA",IF(O$59=0,0,O71/O$59),AVERAGE($K72:N72))</f>
        <v>0</v>
      </c>
      <c r="P72" s="97">
        <f>IF(P$20="CYA",IF(P$59=0,0,P71/P$59),AVERAGE($K72:O72))</f>
        <v>0</v>
      </c>
      <c r="Q72" s="97">
        <f>IF(Q$20="CYA",IF(Q$59=0,0,Q71/Q$59),AVERAGE($K72:P72))</f>
        <v>0</v>
      </c>
      <c r="R72" s="97">
        <f>IF(R$20="CYA",IF(R$59=0,0,R71/R$59),AVERAGE($K72:Q72))</f>
        <v>0</v>
      </c>
      <c r="S72" s="97">
        <f>IF(S$20="CYA",IF(S$59=0,0,S71/S$59),AVERAGE($K72:R72))</f>
        <v>0</v>
      </c>
      <c r="T72" s="97">
        <f>IF(T$20="CYA",IF(T$59=0,0,T71/T$59),AVERAGE($K72:S72))</f>
        <v>0</v>
      </c>
      <c r="U72" s="97">
        <f>IF(U$20="CYA",IF(U$59=0,0,U71/U$59),AVERAGE($K72:T72))</f>
        <v>0</v>
      </c>
      <c r="V72" s="97">
        <f>IF(V$20="CYA",IF(V$59=0,0,V71/V$59),AVERAGE($K72:U72))</f>
        <v>0</v>
      </c>
      <c r="W72" s="97">
        <f>IF(W$40=0,0,W71/W$40)</f>
        <v>0</v>
      </c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46"/>
      <c r="AP72" s="46"/>
      <c r="AQ72" s="46"/>
      <c r="AR72" s="167"/>
      <c r="AS72" s="167"/>
      <c r="AT72" s="167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</row>
    <row r="73" spans="1:63" ht="18" thickTop="1" thickBot="1">
      <c r="A73" s="113"/>
      <c r="B73" s="106"/>
      <c r="C73" s="112" t="str">
        <f>"ACCT.FSDetail='"&amp;C71&amp;"'"</f>
        <v>ACCT.FSDetail='D_Discounts'</v>
      </c>
      <c r="D73" s="110" t="s">
        <v>411</v>
      </c>
      <c r="E73" s="112"/>
      <c r="F73" s="58"/>
      <c r="G73" s="95" t="s">
        <v>328</v>
      </c>
      <c r="H73" s="58"/>
      <c r="I73" s="46"/>
      <c r="J73" s="117"/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90">
        <f t="shared" ref="S73:V74" si="74">AK73</f>
        <v>0</v>
      </c>
      <c r="T73" s="90">
        <f t="shared" si="74"/>
        <v>0</v>
      </c>
      <c r="U73" s="90">
        <f t="shared" si="74"/>
        <v>0</v>
      </c>
      <c r="V73" s="90">
        <f t="shared" si="74"/>
        <v>0</v>
      </c>
      <c r="W73" s="97">
        <f>IF(W76=0,0,1-(SUM(W75,W71)/W76))</f>
        <v>0</v>
      </c>
      <c r="X73" s="97"/>
      <c r="Y73" s="97"/>
      <c r="Z73" s="97"/>
      <c r="AA73" s="97"/>
      <c r="AB73" s="97"/>
      <c r="AC73" s="97" cm="1">
        <f t="array" ref="AC73">IF(AC$7="",0,_xll.GetData(AC$7,$AQ73))</f>
        <v>0</v>
      </c>
      <c r="AD73" s="97" cm="1">
        <f t="array" ref="AD73">IF(AD$7="",0,_xll.GetData(AD$7,$AQ73))</f>
        <v>0</v>
      </c>
      <c r="AE73" s="97" cm="1">
        <f t="array" ref="AE73">IF(AE$7="",0,_xll.GetData(AE$7,$AQ73))</f>
        <v>0</v>
      </c>
      <c r="AF73" s="97" cm="1">
        <f t="array" ref="AF73">IF(AF$7="",0,_xll.GetData(AF$7,$AQ73))</f>
        <v>0</v>
      </c>
      <c r="AG73" s="97" cm="1">
        <f t="array" ref="AG73">IF(AG$7="",0,_xll.GetData(AG$7,$AQ73))</f>
        <v>0</v>
      </c>
      <c r="AH73" s="97" cm="1">
        <f t="array" ref="AH73">IF(AH$7="",0,_xll.GetData(AH$7,$AQ73))</f>
        <v>0</v>
      </c>
      <c r="AI73" s="97" cm="1">
        <f t="array" ref="AI73">IF(AI$7="",0,_xll.GetData(AI$7,$AQ73))</f>
        <v>0</v>
      </c>
      <c r="AJ73" s="97" cm="1">
        <f t="array" ref="AJ73">IF(AJ$7="",0,_xll.GetData(AJ$7,$AQ73))</f>
        <v>0</v>
      </c>
      <c r="AK73" s="97" cm="1">
        <f t="array" ref="AK73">IF(AK$7="",0,_xll.GetData(AK$7,$AQ73))</f>
        <v>0</v>
      </c>
      <c r="AL73" s="97" cm="1">
        <f t="array" ref="AL73">IF(AL$7="",0,_xll.GetData(AL$7,$AQ73))</f>
        <v>0</v>
      </c>
      <c r="AM73" s="97" cm="1">
        <f t="array" ref="AM73">IF(AM$7="",0,_xll.GetData(AM$7,$AQ73))</f>
        <v>0</v>
      </c>
      <c r="AN73" s="97" cm="1">
        <f t="array" ref="AN73">IF(AN$7="",0,_xll.GetData(AN$7,$AQ73))</f>
        <v>0</v>
      </c>
      <c r="AO73" s="69"/>
      <c r="AP73" s="111">
        <f>AP76</f>
        <v>25</v>
      </c>
      <c r="AQ73" s="111" t="str">
        <f>"Dept="&amp;AU73&amp;" And Acct="&amp;AV73</f>
        <v>Dept=0 And Acct=52880</v>
      </c>
      <c r="AR73" s="167" t="str">
        <f>IF(OR(AU73=0,AV73=0),"NoSave","[Save]")</f>
        <v>NoSave</v>
      </c>
      <c r="AS73" s="167"/>
      <c r="AT73" s="167"/>
      <c r="AU73" s="111">
        <f>AU76</f>
        <v>0</v>
      </c>
      <c r="AV73" s="111">
        <f>AV76</f>
        <v>52880</v>
      </c>
      <c r="AW73" s="111">
        <v>1</v>
      </c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90">
        <f>CB73</f>
        <v>0</v>
      </c>
      <c r="BK73" s="86">
        <v>0</v>
      </c>
    </row>
    <row r="74" spans="1:63" s="55" customFormat="1" ht="18" thickTop="1" thickBot="1">
      <c r="A74" s="105"/>
      <c r="B74" s="106"/>
      <c r="C74" s="112" t="str">
        <f>C73</f>
        <v>ACCT.FSDetail='D_Discounts'</v>
      </c>
      <c r="D74" s="110" t="s">
        <v>411</v>
      </c>
      <c r="E74" s="112"/>
      <c r="F74" s="58"/>
      <c r="G74" s="95" t="s">
        <v>329</v>
      </c>
      <c r="H74" s="58"/>
      <c r="I74" s="71"/>
      <c r="J74" s="67"/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89">
        <f t="shared" si="74"/>
        <v>0</v>
      </c>
      <c r="T74" s="89">
        <f t="shared" si="74"/>
        <v>0</v>
      </c>
      <c r="U74" s="89">
        <f t="shared" si="74"/>
        <v>0</v>
      </c>
      <c r="V74" s="89">
        <f t="shared" si="74"/>
        <v>0</v>
      </c>
      <c r="W74" s="96">
        <f>SUM(K74:V74)</f>
        <v>0</v>
      </c>
      <c r="X74" s="96"/>
      <c r="Y74" s="96"/>
      <c r="Z74" s="96"/>
      <c r="AA74" s="96"/>
      <c r="AB74" s="96"/>
      <c r="AC74" s="96" cm="1">
        <f t="array" ref="AC74">IF(AC$8="",0,_xll.GetData(AC$8,$AQ74))</f>
        <v>0</v>
      </c>
      <c r="AD74" s="96" cm="1">
        <f t="array" ref="AD74">IF(AD$8="",0,_xll.GetData(AD$8,$AQ74))</f>
        <v>0</v>
      </c>
      <c r="AE74" s="96" cm="1">
        <f t="array" ref="AE74">IF(AE$8="",0,_xll.GetData(AE$8,$AQ74))</f>
        <v>0</v>
      </c>
      <c r="AF74" s="96" cm="1">
        <f t="array" ref="AF74">IF(AF$8="",0,_xll.GetData(AF$8,$AQ74))</f>
        <v>0</v>
      </c>
      <c r="AG74" s="96" cm="1">
        <f t="array" ref="AG74">IF(AG$8="",0,_xll.GetData(AG$8,$AQ74))</f>
        <v>0</v>
      </c>
      <c r="AH74" s="96" cm="1">
        <f t="array" ref="AH74">IF(AH$8="",0,_xll.GetData(AH$8,$AQ74))</f>
        <v>0</v>
      </c>
      <c r="AI74" s="96" cm="1">
        <f t="array" ref="AI74">IF(AI$8="",0,_xll.GetData(AI$8,$AQ74))</f>
        <v>0</v>
      </c>
      <c r="AJ74" s="96" cm="1">
        <f t="array" ref="AJ74">IF(AJ$8="",0,_xll.GetData(AJ$8,$AQ74))</f>
        <v>0</v>
      </c>
      <c r="AK74" s="96" cm="1">
        <f t="array" ref="AK74">IF(AK$8="",0,_xll.GetData(AK$8,$AQ74))</f>
        <v>0</v>
      </c>
      <c r="AL74" s="96" cm="1">
        <f t="array" ref="AL74">IF(AL$8="",0,_xll.GetData(AL$8,$AQ74))</f>
        <v>0</v>
      </c>
      <c r="AM74" s="96" cm="1">
        <f t="array" ref="AM74">IF(AM$8="",0,_xll.GetData(AM$8,$AQ74))</f>
        <v>0</v>
      </c>
      <c r="AN74" s="96" cm="1">
        <f t="array" ref="AN74">IF(AN$8="",0,_xll.GetData(AN$8,$AQ74))</f>
        <v>0</v>
      </c>
      <c r="AO74" s="69"/>
      <c r="AP74" s="111">
        <f>AP76</f>
        <v>25</v>
      </c>
      <c r="AQ74" s="111" t="str">
        <f>"Dept="&amp;AU74&amp;" And Acct="&amp;AV74</f>
        <v>Dept=0 And Acct=52880</v>
      </c>
      <c r="AR74" s="167"/>
      <c r="AS74" s="167" t="str">
        <f>IF(OR(AU74=0,AV74=0),"NoSave","[Save]")</f>
        <v>NoSave</v>
      </c>
      <c r="AT74" s="167"/>
      <c r="AU74" s="111">
        <f>AU76</f>
        <v>0</v>
      </c>
      <c r="AV74" s="111">
        <f>AV76</f>
        <v>52880</v>
      </c>
      <c r="AW74" s="111">
        <v>1</v>
      </c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89">
        <f>CB74</f>
        <v>0</v>
      </c>
      <c r="BK74" s="96">
        <v>0</v>
      </c>
    </row>
    <row r="75" spans="1:63" ht="17.399999999999999" thickTop="1">
      <c r="A75" s="105"/>
      <c r="B75" s="114"/>
      <c r="C75" s="112"/>
      <c r="D75" s="110" t="s">
        <v>411</v>
      </c>
      <c r="E75" s="112"/>
      <c r="F75" s="58"/>
      <c r="G75" s="95" t="s">
        <v>425</v>
      </c>
      <c r="H75" s="58"/>
      <c r="I75" s="71"/>
      <c r="J75" s="67"/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6">
        <f t="shared" ref="S75:V75" si="75">S71*S73+S74</f>
        <v>0</v>
      </c>
      <c r="T75" s="96">
        <f t="shared" si="75"/>
        <v>0</v>
      </c>
      <c r="U75" s="96">
        <f t="shared" si="75"/>
        <v>0</v>
      </c>
      <c r="V75" s="96">
        <f t="shared" si="75"/>
        <v>0</v>
      </c>
      <c r="W75" s="96">
        <f>SUM(K75:V75)</f>
        <v>0</v>
      </c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69"/>
      <c r="AP75" s="111"/>
      <c r="AQ75" s="111"/>
      <c r="AR75" s="167"/>
      <c r="AS75" s="167"/>
      <c r="AT75" s="167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96">
        <f>BJ71*BJ73+BJ74</f>
        <v>0</v>
      </c>
      <c r="BK75" s="96">
        <v>0</v>
      </c>
    </row>
    <row r="76" spans="1:63" ht="16.8">
      <c r="A76" s="105"/>
      <c r="B76" s="106" t="str">
        <f>C71</f>
        <v>D_Discounts</v>
      </c>
      <c r="C76" s="112"/>
      <c r="D76" s="110"/>
      <c r="E76" s="112"/>
      <c r="F76" s="74"/>
      <c r="G76" s="100" t="str">
        <f>"   Total "&amp;G71</f>
        <v xml:space="preserve">   Total Other Discounts</v>
      </c>
      <c r="H76" s="100"/>
      <c r="I76" s="100"/>
      <c r="J76" s="116"/>
      <c r="K76" s="116">
        <f>IF(K$20="CYA",K71,SUM(K71,K75))</f>
        <v>0</v>
      </c>
      <c r="L76" s="116">
        <f>IF(L$20="CYA",L71,SUM(L71,L75))</f>
        <v>0</v>
      </c>
      <c r="M76" s="116">
        <f>IF(M$20="CYA",M71,SUM(M71,M75))</f>
        <v>0</v>
      </c>
      <c r="N76" s="116">
        <f>IF(N$20="CYA",N71,SUM(N71,N75))</f>
        <v>0</v>
      </c>
      <c r="O76" s="116">
        <f>IF(O$20="CYA",O71,SUM(O71,O75))</f>
        <v>0</v>
      </c>
      <c r="P76" s="116">
        <f>IF(P$20="CYA",P71,SUM(P71,P75))</f>
        <v>0</v>
      </c>
      <c r="Q76" s="116">
        <f>IF(Q$20="CYA",Q71,SUM(Q71,Q75))</f>
        <v>0</v>
      </c>
      <c r="R76" s="116">
        <f>IF(R$20="CYA",R71,SUM(R71,R75))</f>
        <v>0</v>
      </c>
      <c r="S76" s="116">
        <f>IF(S$20="CYA",S71,SUM(S71,S75))</f>
        <v>0</v>
      </c>
      <c r="T76" s="116">
        <f>IF(T$20="CYA",T71,SUM(T71,T75))</f>
        <v>0</v>
      </c>
      <c r="U76" s="116">
        <f>IF(U$20="CYA",U71,SUM(U71,U75))</f>
        <v>0</v>
      </c>
      <c r="V76" s="116">
        <f>IF(V$20="CYA",V71,SUM(V71,V75))</f>
        <v>0</v>
      </c>
      <c r="W76" s="116">
        <f>SUM(K76:V76)</f>
        <v>0</v>
      </c>
      <c r="X76" s="116"/>
      <c r="Y76" s="116">
        <f>SUM(Y71:Y75)</f>
        <v>0</v>
      </c>
      <c r="Z76" s="101">
        <f>Y76-W76</f>
        <v>0</v>
      </c>
      <c r="AA76" s="102">
        <f>IF(Y76=0,0,Z76/Y76)</f>
        <v>0</v>
      </c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67"/>
      <c r="AP76" s="111">
        <f>ROW(Control!D25)</f>
        <v>25</v>
      </c>
      <c r="AQ76" s="111"/>
      <c r="AR76" s="167"/>
      <c r="AS76" s="167"/>
      <c r="AT76" s="167" t="str">
        <f>IF(OR(AU76=0,AV76=0),"NoSave","[Save]")</f>
        <v>NoSave</v>
      </c>
      <c r="AU76" s="111" cm="1">
        <f t="array" ref="AU76">INDEX(Control!G$1:G$9997,$AP76)</f>
        <v>0</v>
      </c>
      <c r="AV76" s="111" cm="1">
        <f t="array" ref="AV76">INDEX(Control!I$1:I$9997,$AP76)</f>
        <v>52880</v>
      </c>
      <c r="AW76" s="111">
        <v>1</v>
      </c>
      <c r="AX76" s="111">
        <f>IF(K$20="CYA",0,K76-K71+AC76)</f>
        <v>0</v>
      </c>
      <c r="AY76" s="111">
        <f t="shared" ref="AY76:BI76" si="76">IF(L$20="CYA",0,L76-L71+AD76)</f>
        <v>0</v>
      </c>
      <c r="AZ76" s="111">
        <f t="shared" si="76"/>
        <v>0</v>
      </c>
      <c r="BA76" s="111">
        <f t="shared" si="76"/>
        <v>0</v>
      </c>
      <c r="BB76" s="111">
        <f t="shared" si="76"/>
        <v>0</v>
      </c>
      <c r="BC76" s="111">
        <f t="shared" si="76"/>
        <v>0</v>
      </c>
      <c r="BD76" s="111">
        <f t="shared" si="76"/>
        <v>0</v>
      </c>
      <c r="BE76" s="111">
        <f t="shared" si="76"/>
        <v>0</v>
      </c>
      <c r="BF76" s="111">
        <f t="shared" si="76"/>
        <v>0</v>
      </c>
      <c r="BG76" s="111">
        <f t="shared" si="76"/>
        <v>0</v>
      </c>
      <c r="BH76" s="111">
        <f t="shared" si="76"/>
        <v>0</v>
      </c>
      <c r="BI76" s="111">
        <f t="shared" si="76"/>
        <v>0</v>
      </c>
    </row>
    <row r="77" spans="1:63" s="55" customFormat="1" ht="16.8">
      <c r="A77" s="105"/>
      <c r="B77" s="106"/>
      <c r="C77" s="112"/>
      <c r="D77" s="110"/>
      <c r="E77" s="112"/>
      <c r="F77" s="74"/>
      <c r="G77" s="100" t="s">
        <v>507</v>
      </c>
      <c r="H77" s="100"/>
      <c r="I77" s="100"/>
      <c r="J77" s="147"/>
      <c r="K77" s="150">
        <f>IF(K$59=0,0,K76/K$59)</f>
        <v>0</v>
      </c>
      <c r="L77" s="150">
        <f>IF(L$59=0,0,L76/L$59)</f>
        <v>0</v>
      </c>
      <c r="M77" s="150">
        <f>IF(M$59=0,0,M76/M$59)</f>
        <v>0</v>
      </c>
      <c r="N77" s="150">
        <f>IF(N$59=0,0,N76/N$59)</f>
        <v>0</v>
      </c>
      <c r="O77" s="150">
        <f>IF(O$59=0,0,O76/O$59)</f>
        <v>0</v>
      </c>
      <c r="P77" s="150">
        <f>IF(P$59=0,0,P76/P$59)</f>
        <v>0</v>
      </c>
      <c r="Q77" s="150">
        <f>IF(Q$59=0,0,Q76/Q$59)</f>
        <v>0</v>
      </c>
      <c r="R77" s="150">
        <f>IF(R$59=0,0,R76/R$59)</f>
        <v>0</v>
      </c>
      <c r="S77" s="150">
        <f>IF(S$59=0,0,S76/S$59)</f>
        <v>0</v>
      </c>
      <c r="T77" s="150">
        <f>IF(T$59=0,0,T76/T$59)</f>
        <v>0</v>
      </c>
      <c r="U77" s="150">
        <f>IF(U$59=0,0,U76/U$59)</f>
        <v>0</v>
      </c>
      <c r="V77" s="150">
        <f>IF(V$59=0,0,V76/V$59)</f>
        <v>0</v>
      </c>
      <c r="W77" s="150">
        <f>IF(W$59=0,0,W76/W$59)</f>
        <v>0</v>
      </c>
      <c r="X77" s="147"/>
      <c r="Y77" s="150">
        <f>IF(Y$59=0,0,Y76/Y$59)</f>
        <v>0</v>
      </c>
      <c r="Z77" s="101"/>
      <c r="AA77" s="102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67"/>
      <c r="AP77" s="111"/>
      <c r="AQ77" s="111"/>
      <c r="AR77" s="167"/>
      <c r="AS77" s="167"/>
      <c r="AT77" s="167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</row>
    <row r="78" spans="1:63" ht="16.8">
      <c r="A78" s="105"/>
      <c r="B78" s="106"/>
      <c r="C78" s="112"/>
      <c r="D78" s="110"/>
      <c r="E78" s="112"/>
      <c r="F78" s="74"/>
      <c r="G78" s="95"/>
      <c r="H78" s="67"/>
      <c r="I78" s="67"/>
      <c r="J78" s="67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67"/>
      <c r="X78" s="83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167"/>
      <c r="AS78" s="167"/>
      <c r="AT78" s="167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</row>
    <row r="79" spans="1:63" ht="16.8">
      <c r="A79" s="105" t="str">
        <f>C79</f>
        <v>D_Charity</v>
      </c>
      <c r="B79" s="106"/>
      <c r="C79" s="112" t="s">
        <v>335</v>
      </c>
      <c r="D79" s="110"/>
      <c r="E79" s="112"/>
      <c r="F79" s="58"/>
      <c r="G79" s="95" t="s">
        <v>225</v>
      </c>
      <c r="H79" s="67"/>
      <c r="I79" s="67"/>
      <c r="J79" s="67"/>
      <c r="K79" s="96">
        <v>740391.87</v>
      </c>
      <c r="L79" s="96">
        <v>1552860.6400000001</v>
      </c>
      <c r="M79" s="96">
        <v>340871.27</v>
      </c>
      <c r="N79" s="96">
        <v>448112.62999999995</v>
      </c>
      <c r="O79" s="96">
        <v>400315.77</v>
      </c>
      <c r="P79" s="96">
        <v>694542.03026110178</v>
      </c>
      <c r="Q79" s="96">
        <v>679861.26129833574</v>
      </c>
      <c r="R79" s="96">
        <v>529505.45414868474</v>
      </c>
      <c r="S79" s="96">
        <v>558670.50535152107</v>
      </c>
      <c r="T79" s="96">
        <v>570963.30493322329</v>
      </c>
      <c r="U79" s="96">
        <v>608253.76271568413</v>
      </c>
      <c r="V79" s="96">
        <v>590497.4661471392</v>
      </c>
      <c r="W79" s="96">
        <f>SUM(K79:V79)</f>
        <v>7714845.9648556896</v>
      </c>
      <c r="X79" s="96"/>
      <c r="Y79" s="96">
        <v>9300280.6969911698</v>
      </c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R79" s="167"/>
      <c r="AS79" s="167"/>
      <c r="AT79" s="167"/>
      <c r="AU79" s="111"/>
      <c r="AV79" s="111"/>
      <c r="AW79" s="111">
        <v>1</v>
      </c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</row>
    <row r="80" spans="1:63" ht="17.399999999999999" thickBot="1">
      <c r="A80" s="105"/>
      <c r="B80" s="106"/>
      <c r="C80" s="112"/>
      <c r="D80" s="110"/>
      <c r="E80" s="112"/>
      <c r="F80" s="58"/>
      <c r="G80" s="95" t="s">
        <v>333</v>
      </c>
      <c r="H80" s="46"/>
      <c r="I80" s="67"/>
      <c r="J80" s="67"/>
      <c r="K80" s="97">
        <f>IF(K$20="CYA",IF(K$59=0,0,K79/K$59),0)</f>
        <v>1.2553981373151491E-2</v>
      </c>
      <c r="L80" s="97">
        <f>IF(L$20="CYA",IF(L$59=0,0,L79/L$59),AVERAGE($K80:K80))</f>
        <v>2.5693444356245845E-2</v>
      </c>
      <c r="M80" s="97">
        <f>IF(M$20="CYA",IF(M$59=0,0,M79/M$59),AVERAGE($K80:L80))</f>
        <v>5.556714940374091E-3</v>
      </c>
      <c r="N80" s="97">
        <f>IF(N$20="CYA",IF(N$59=0,0,N79/N$59),AVERAGE($K80:M80))</f>
        <v>7.4321534977405124E-3</v>
      </c>
      <c r="O80" s="97">
        <f>IF(O$20="CYA",IF(O$59=0,0,O79/O$59),AVERAGE($K80:N80))</f>
        <v>6.5157718780547071E-3</v>
      </c>
      <c r="P80" s="97">
        <f>IF(P$20="CYA",IF(P$59=0,0,P79/P$59),AVERAGE($K80:O80))</f>
        <v>1.646663904841637E-2</v>
      </c>
      <c r="Q80" s="97">
        <f>IF(Q$20="CYA",IF(Q$59=0,0,Q79/Q$59),AVERAGE($K80:P80))</f>
        <v>1.5497046697204659E-2</v>
      </c>
      <c r="R80" s="97">
        <f>IF(R$20="CYA",IF(R$59=0,0,R79/R$59),AVERAGE($K80:Q80))</f>
        <v>1.18241148085984E-2</v>
      </c>
      <c r="S80" s="97">
        <f>IF(S$20="CYA",IF(S$59=0,0,S79/S$59),AVERAGE($K80:R80))</f>
        <v>1.2692483324973258E-2</v>
      </c>
      <c r="T80" s="97">
        <f>IF(T$20="CYA",IF(T$59=0,0,T79/T$59),AVERAGE($K80:S80))</f>
        <v>1.2692483324973258E-2</v>
      </c>
      <c r="U80" s="97">
        <f>IF(U$20="CYA",IF(U$59=0,0,U79/U$59),AVERAGE($K80:T80))</f>
        <v>1.2692483324973258E-2</v>
      </c>
      <c r="V80" s="97">
        <f>IF(V$20="CYA",IF(V$59=0,0,V79/V$59),AVERAGE($K80:U80))</f>
        <v>1.2692483324973258E-2</v>
      </c>
      <c r="W80" s="97">
        <f>IF(W$40=0,0,W79/W$40)</f>
        <v>0</v>
      </c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46"/>
      <c r="AP80" s="46"/>
      <c r="AQ80" s="46"/>
      <c r="AR80" s="167"/>
      <c r="AS80" s="167"/>
      <c r="AT80" s="167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</row>
    <row r="81" spans="1:63" ht="18" thickTop="1" thickBot="1">
      <c r="A81" s="113"/>
      <c r="B81" s="106"/>
      <c r="C81" s="112" t="str">
        <f>"ACCT.FSDetail='"&amp;C79&amp;"'"</f>
        <v>ACCT.FSDetail='D_Charity'</v>
      </c>
      <c r="D81" s="110" t="s">
        <v>411</v>
      </c>
      <c r="E81" s="112"/>
      <c r="F81" s="58"/>
      <c r="G81" s="95" t="s">
        <v>328</v>
      </c>
      <c r="H81" s="58"/>
      <c r="I81" s="46"/>
      <c r="J81" s="117"/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0</v>
      </c>
      <c r="S81" s="90">
        <f t="shared" ref="S81:V82" si="77">AK81</f>
        <v>0</v>
      </c>
      <c r="T81" s="90">
        <f t="shared" si="77"/>
        <v>0</v>
      </c>
      <c r="U81" s="90">
        <f t="shared" si="77"/>
        <v>0</v>
      </c>
      <c r="V81" s="90">
        <f t="shared" si="77"/>
        <v>0</v>
      </c>
      <c r="W81" s="97">
        <f>IF(W84=0,0,1-(SUM(W83,W79)/W84))</f>
        <v>0</v>
      </c>
      <c r="X81" s="97"/>
      <c r="Y81" s="97"/>
      <c r="Z81" s="97"/>
      <c r="AA81" s="97"/>
      <c r="AB81" s="97"/>
      <c r="AC81" s="97" cm="1">
        <f t="array" ref="AC81">IF(AC$7="",0,_xll.GetData(AC$7,$AQ81))</f>
        <v>0</v>
      </c>
      <c r="AD81" s="97" cm="1">
        <f t="array" ref="AD81">IF(AD$7="",0,_xll.GetData(AD$7,$AQ81))</f>
        <v>0</v>
      </c>
      <c r="AE81" s="97" cm="1">
        <f t="array" ref="AE81">IF(AE$7="",0,_xll.GetData(AE$7,$AQ81))</f>
        <v>0</v>
      </c>
      <c r="AF81" s="97" cm="1">
        <f t="array" ref="AF81">IF(AF$7="",0,_xll.GetData(AF$7,$AQ81))</f>
        <v>0</v>
      </c>
      <c r="AG81" s="97" cm="1">
        <f t="array" ref="AG81">IF(AG$7="",0,_xll.GetData(AG$7,$AQ81))</f>
        <v>0</v>
      </c>
      <c r="AH81" s="97" cm="1">
        <f t="array" ref="AH81">IF(AH$7="",0,_xll.GetData(AH$7,$AQ81))</f>
        <v>0</v>
      </c>
      <c r="AI81" s="97" cm="1">
        <f t="array" ref="AI81">IF(AI$7="",0,_xll.GetData(AI$7,$AQ81))</f>
        <v>0</v>
      </c>
      <c r="AJ81" s="97" cm="1">
        <f t="array" ref="AJ81">IF(AJ$7="",0,_xll.GetData(AJ$7,$AQ81))</f>
        <v>0</v>
      </c>
      <c r="AK81" s="97" cm="1">
        <f t="array" ref="AK81">IF(AK$7="",0,_xll.GetData(AK$7,$AQ81))</f>
        <v>0</v>
      </c>
      <c r="AL81" s="97" cm="1">
        <f t="array" ref="AL81">IF(AL$7="",0,_xll.GetData(AL$7,$AQ81))</f>
        <v>0</v>
      </c>
      <c r="AM81" s="97" cm="1">
        <f t="array" ref="AM81">IF(AM$7="",0,_xll.GetData(AM$7,$AQ81))</f>
        <v>0</v>
      </c>
      <c r="AN81" s="97" cm="1">
        <f t="array" ref="AN81">IF(AN$7="",0,_xll.GetData(AN$7,$AQ81))</f>
        <v>0</v>
      </c>
      <c r="AO81" s="69"/>
      <c r="AP81" s="111">
        <f>AP84</f>
        <v>26</v>
      </c>
      <c r="AQ81" s="111" t="str">
        <f>"Dept="&amp;AU81&amp;" And Acct="&amp;AV81</f>
        <v>Dept=0 And Acct=52810</v>
      </c>
      <c r="AR81" s="167" t="str">
        <f>IF(OR(AU81=0,AV81=0),"NoSave","[Save]")</f>
        <v>NoSave</v>
      </c>
      <c r="AS81" s="167"/>
      <c r="AT81" s="167"/>
      <c r="AU81" s="111">
        <f>AU84</f>
        <v>0</v>
      </c>
      <c r="AV81" s="111">
        <f>AV84</f>
        <v>52810</v>
      </c>
      <c r="AW81" s="111">
        <v>1</v>
      </c>
      <c r="AX81" s="280">
        <f>IF(K$20="CYA",0,K81)</f>
        <v>0</v>
      </c>
      <c r="AY81" s="280">
        <f t="shared" ref="AY81:AY82" si="78">IF(L$20="CYA",0,L81)</f>
        <v>0</v>
      </c>
      <c r="AZ81" s="280">
        <f t="shared" ref="AZ81:AZ82" si="79">IF(M$20="CYA",0,M81)</f>
        <v>0</v>
      </c>
      <c r="BA81" s="280">
        <f t="shared" ref="BA81:BA82" si="80">IF(N$20="CYA",0,N81)</f>
        <v>0</v>
      </c>
      <c r="BB81" s="280">
        <f t="shared" ref="BB81:BB82" si="81">IF(O$20="CYA",0,O81)</f>
        <v>0</v>
      </c>
      <c r="BC81" s="280">
        <f t="shared" ref="BC81:BC82" si="82">IF(P$20="CYA",0,P81)</f>
        <v>0</v>
      </c>
      <c r="BD81" s="280">
        <f t="shared" ref="BD81:BD82" si="83">IF(Q$20="CYA",0,Q81)</f>
        <v>0</v>
      </c>
      <c r="BE81" s="280">
        <f t="shared" ref="BE81:BE82" si="84">IF(R$20="CYA",0,R81)</f>
        <v>0</v>
      </c>
      <c r="BF81" s="280">
        <f t="shared" ref="BF81:BF82" si="85">IF(S$20="CYA",0,S81)</f>
        <v>0</v>
      </c>
      <c r="BG81" s="280">
        <f t="shared" ref="BG81:BG82" si="86">IF(T$20="CYA",0,T81)</f>
        <v>0</v>
      </c>
      <c r="BH81" s="280">
        <f t="shared" ref="BH81:BH82" si="87">IF(U$20="CYA",0,U81)</f>
        <v>0</v>
      </c>
      <c r="BI81" s="280">
        <f t="shared" ref="BI81:BI82" si="88">IF(V$20="CYA",0,V81)</f>
        <v>0</v>
      </c>
      <c r="BJ81" s="90">
        <f>CB81</f>
        <v>0</v>
      </c>
      <c r="BK81" s="86">
        <v>0</v>
      </c>
    </row>
    <row r="82" spans="1:63" s="55" customFormat="1" ht="18" thickTop="1" thickBot="1">
      <c r="A82" s="105"/>
      <c r="B82" s="106"/>
      <c r="C82" s="112" t="str">
        <f>C81</f>
        <v>ACCT.FSDetail='D_Charity'</v>
      </c>
      <c r="D82" s="110" t="s">
        <v>411</v>
      </c>
      <c r="E82" s="112"/>
      <c r="F82" s="58"/>
      <c r="G82" s="95" t="s">
        <v>329</v>
      </c>
      <c r="H82" s="58"/>
      <c r="I82" s="71"/>
      <c r="J82" s="67"/>
      <c r="K82" s="96">
        <v>0</v>
      </c>
      <c r="L82" s="96">
        <v>0</v>
      </c>
      <c r="M82" s="96">
        <v>0</v>
      </c>
      <c r="N82" s="96">
        <v>0</v>
      </c>
      <c r="O82" s="96">
        <v>0</v>
      </c>
      <c r="P82" s="96">
        <v>0</v>
      </c>
      <c r="Q82" s="96">
        <v>0</v>
      </c>
      <c r="R82" s="96">
        <v>0</v>
      </c>
      <c r="S82" s="89">
        <f t="shared" si="77"/>
        <v>0</v>
      </c>
      <c r="T82" s="89">
        <f t="shared" si="77"/>
        <v>0</v>
      </c>
      <c r="U82" s="89">
        <f t="shared" si="77"/>
        <v>0</v>
      </c>
      <c r="V82" s="89">
        <f t="shared" si="77"/>
        <v>0</v>
      </c>
      <c r="W82" s="96">
        <f>SUM(K82:V82)</f>
        <v>0</v>
      </c>
      <c r="X82" s="96"/>
      <c r="Y82" s="96"/>
      <c r="Z82" s="96"/>
      <c r="AA82" s="96"/>
      <c r="AB82" s="96"/>
      <c r="AC82" s="96" cm="1">
        <f t="array" ref="AC82">IF(AC$8="",0,_xll.GetData(AC$8,$AQ82))</f>
        <v>0</v>
      </c>
      <c r="AD82" s="96" cm="1">
        <f t="array" ref="AD82">IF(AD$8="",0,_xll.GetData(AD$8,$AQ82))</f>
        <v>0</v>
      </c>
      <c r="AE82" s="96" cm="1">
        <f t="array" ref="AE82">IF(AE$8="",0,_xll.GetData(AE$8,$AQ82))</f>
        <v>0</v>
      </c>
      <c r="AF82" s="96" cm="1">
        <f t="array" ref="AF82">IF(AF$8="",0,_xll.GetData(AF$8,$AQ82))</f>
        <v>0</v>
      </c>
      <c r="AG82" s="96" cm="1">
        <f t="array" ref="AG82">IF(AG$8="",0,_xll.GetData(AG$8,$AQ82))</f>
        <v>0</v>
      </c>
      <c r="AH82" s="96" cm="1">
        <f t="array" ref="AH82">IF(AH$8="",0,_xll.GetData(AH$8,$AQ82))</f>
        <v>0</v>
      </c>
      <c r="AI82" s="96" cm="1">
        <f t="array" ref="AI82">IF(AI$8="",0,_xll.GetData(AI$8,$AQ82))</f>
        <v>0</v>
      </c>
      <c r="AJ82" s="96" cm="1">
        <f t="array" ref="AJ82">IF(AJ$8="",0,_xll.GetData(AJ$8,$AQ82))</f>
        <v>0</v>
      </c>
      <c r="AK82" s="96" cm="1">
        <f t="array" ref="AK82">IF(AK$8="",0,_xll.GetData(AK$8,$AQ82))</f>
        <v>0</v>
      </c>
      <c r="AL82" s="96" cm="1">
        <f t="array" ref="AL82">IF(AL$8="",0,_xll.GetData(AL$8,$AQ82))</f>
        <v>0</v>
      </c>
      <c r="AM82" s="96" cm="1">
        <f t="array" ref="AM82">IF(AM$8="",0,_xll.GetData(AM$8,$AQ82))</f>
        <v>0</v>
      </c>
      <c r="AN82" s="96" cm="1">
        <f t="array" ref="AN82">IF(AN$8="",0,_xll.GetData(AN$8,$AQ82))</f>
        <v>0</v>
      </c>
      <c r="AO82" s="69"/>
      <c r="AP82" s="111">
        <f>AP84</f>
        <v>26</v>
      </c>
      <c r="AQ82" s="111" t="str">
        <f>"Dept="&amp;AU82&amp;" And Acct="&amp;AV82</f>
        <v>Dept=0 And Acct=52810</v>
      </c>
      <c r="AR82" s="167"/>
      <c r="AS82" s="167" t="str">
        <f>IF(OR(AU82=0,AV82=0),"NoSave","[Save]")</f>
        <v>NoSave</v>
      </c>
      <c r="AT82" s="167"/>
      <c r="AU82" s="111">
        <f>AU84</f>
        <v>0</v>
      </c>
      <c r="AV82" s="111">
        <f>AV84</f>
        <v>52810</v>
      </c>
      <c r="AW82" s="111">
        <v>1</v>
      </c>
      <c r="AX82" s="281">
        <f>IF(K$20="CYA",0,K82)</f>
        <v>0</v>
      </c>
      <c r="AY82" s="281">
        <f t="shared" si="78"/>
        <v>0</v>
      </c>
      <c r="AZ82" s="281">
        <f t="shared" si="79"/>
        <v>0</v>
      </c>
      <c r="BA82" s="281">
        <f t="shared" si="80"/>
        <v>0</v>
      </c>
      <c r="BB82" s="281">
        <f t="shared" si="81"/>
        <v>0</v>
      </c>
      <c r="BC82" s="281">
        <f t="shared" si="82"/>
        <v>0</v>
      </c>
      <c r="BD82" s="281">
        <f t="shared" si="83"/>
        <v>0</v>
      </c>
      <c r="BE82" s="281">
        <f t="shared" si="84"/>
        <v>0</v>
      </c>
      <c r="BF82" s="281">
        <f t="shared" si="85"/>
        <v>0</v>
      </c>
      <c r="BG82" s="281">
        <f t="shared" si="86"/>
        <v>0</v>
      </c>
      <c r="BH82" s="281">
        <f t="shared" si="87"/>
        <v>0</v>
      </c>
      <c r="BI82" s="281">
        <f t="shared" si="88"/>
        <v>0</v>
      </c>
      <c r="BJ82" s="89">
        <f>CB82</f>
        <v>0</v>
      </c>
      <c r="BK82" s="96">
        <v>0</v>
      </c>
    </row>
    <row r="83" spans="1:63" ht="17.399999999999999" thickTop="1">
      <c r="A83" s="105"/>
      <c r="B83" s="114"/>
      <c r="C83" s="112"/>
      <c r="D83" s="110" t="s">
        <v>411</v>
      </c>
      <c r="E83" s="112"/>
      <c r="F83" s="58"/>
      <c r="G83" s="95" t="s">
        <v>425</v>
      </c>
      <c r="H83" s="58"/>
      <c r="I83" s="71"/>
      <c r="J83" s="67"/>
      <c r="K83" s="96">
        <v>0</v>
      </c>
      <c r="L83" s="96">
        <v>0</v>
      </c>
      <c r="M83" s="96">
        <v>0</v>
      </c>
      <c r="N83" s="96">
        <v>0</v>
      </c>
      <c r="O83" s="96">
        <v>0</v>
      </c>
      <c r="P83" s="96">
        <v>0</v>
      </c>
      <c r="Q83" s="96">
        <v>0</v>
      </c>
      <c r="R83" s="96">
        <v>0</v>
      </c>
      <c r="S83" s="96">
        <f t="shared" ref="S83:V83" si="89">S79*S81+S82</f>
        <v>0</v>
      </c>
      <c r="T83" s="96">
        <f t="shared" si="89"/>
        <v>0</v>
      </c>
      <c r="U83" s="96">
        <f t="shared" si="89"/>
        <v>0</v>
      </c>
      <c r="V83" s="96">
        <f t="shared" si="89"/>
        <v>0</v>
      </c>
      <c r="W83" s="96">
        <f>SUM(K83:V83)</f>
        <v>0</v>
      </c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69"/>
      <c r="AP83" s="111"/>
      <c r="AQ83" s="111"/>
      <c r="AR83" s="167"/>
      <c r="AS83" s="167"/>
      <c r="AT83" s="167"/>
      <c r="AU83" s="111"/>
      <c r="AV83" s="111"/>
      <c r="AW83" s="111"/>
      <c r="AX83" s="281"/>
      <c r="AY83" s="281"/>
      <c r="AZ83" s="281"/>
      <c r="BA83" s="281"/>
      <c r="BB83" s="281"/>
      <c r="BC83" s="281"/>
      <c r="BD83" s="281"/>
      <c r="BE83" s="281"/>
      <c r="BF83" s="281"/>
      <c r="BG83" s="281"/>
      <c r="BH83" s="281"/>
      <c r="BI83" s="281"/>
      <c r="BJ83" s="96">
        <f>BJ79*BJ81+BJ82</f>
        <v>0</v>
      </c>
      <c r="BK83" s="96">
        <v>0</v>
      </c>
    </row>
    <row r="84" spans="1:63" ht="16.8">
      <c r="A84" s="105"/>
      <c r="B84" s="106" t="str">
        <f>C79</f>
        <v>D_Charity</v>
      </c>
      <c r="C84" s="112"/>
      <c r="D84" s="110"/>
      <c r="E84" s="112"/>
      <c r="F84" s="74"/>
      <c r="G84" s="100" t="str">
        <f>"   Total "&amp;G79</f>
        <v xml:space="preserve">   Total Charity Services</v>
      </c>
      <c r="H84" s="100"/>
      <c r="I84" s="100"/>
      <c r="J84" s="116"/>
      <c r="K84" s="116">
        <f>IF(K$20="CYA",K79,SUM(K79,K83))</f>
        <v>740391.87</v>
      </c>
      <c r="L84" s="116">
        <f>IF(L$20="CYA",L79,SUM(L79,L83))</f>
        <v>1552860.6400000001</v>
      </c>
      <c r="M84" s="116">
        <f>IF(M$20="CYA",M79,SUM(M79,M83))</f>
        <v>340871.27</v>
      </c>
      <c r="N84" s="116">
        <f>IF(N$20="CYA",N79,SUM(N79,N83))</f>
        <v>448112.62999999995</v>
      </c>
      <c r="O84" s="116">
        <f>IF(O$20="CYA",O79,SUM(O79,O83))</f>
        <v>400315.77</v>
      </c>
      <c r="P84" s="116">
        <f>IF(P$20="CYA",P79,SUM(P79,P83))</f>
        <v>694542.03026110178</v>
      </c>
      <c r="Q84" s="116">
        <f>IF(Q$20="CYA",Q79,SUM(Q79,Q83))</f>
        <v>679861.26129833574</v>
      </c>
      <c r="R84" s="116">
        <f>IF(R$20="CYA",R79,SUM(R79,R83))</f>
        <v>529505.45414868474</v>
      </c>
      <c r="S84" s="116">
        <f>IF(S$20="CYA",S79,SUM(S79,S83))</f>
        <v>558670.50535152107</v>
      </c>
      <c r="T84" s="116">
        <f>IF(T$20="CYA",T79,SUM(T79,T83))</f>
        <v>570963.30493322329</v>
      </c>
      <c r="U84" s="116">
        <f>IF(U$20="CYA",U79,SUM(U79,U83))</f>
        <v>608253.76271568413</v>
      </c>
      <c r="V84" s="116">
        <f>IF(V$20="CYA",V79,SUM(V79,V83))</f>
        <v>590497.4661471392</v>
      </c>
      <c r="W84" s="116">
        <f>SUM(K84:V84)</f>
        <v>7714845.9648556896</v>
      </c>
      <c r="X84" s="116"/>
      <c r="Y84" s="116">
        <f>SUM(Y79:Y83)</f>
        <v>9300280.6969911698</v>
      </c>
      <c r="Z84" s="116">
        <f>Y84-W84</f>
        <v>1585434.7321354803</v>
      </c>
      <c r="AA84" s="102">
        <f>IF(Y84=0,0,Z84/Y84)</f>
        <v>0.17047170766022154</v>
      </c>
      <c r="AB84" s="116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67"/>
      <c r="AP84" s="111">
        <f>ROW(Control!D26)</f>
        <v>26</v>
      </c>
      <c r="AQ84" s="111"/>
      <c r="AR84" s="167"/>
      <c r="AS84" s="167"/>
      <c r="AT84" s="167" t="str">
        <f>IF(OR(AU84=0,AV84=0),"NoSave","[Save]")</f>
        <v>NoSave</v>
      </c>
      <c r="AU84" s="111" cm="1">
        <f t="array" ref="AU84">INDEX(Control!G$1:G$9997,$AP84)</f>
        <v>0</v>
      </c>
      <c r="AV84" s="111" cm="1">
        <f t="array" ref="AV84">INDEX(Control!I$1:I$9997,$AP84)</f>
        <v>52810</v>
      </c>
      <c r="AW84" s="111">
        <v>1</v>
      </c>
      <c r="AX84" s="281">
        <f>IF(K$20="CYA",0,K84-K79)</f>
        <v>0</v>
      </c>
      <c r="AY84" s="281">
        <f t="shared" ref="AY84" si="90">IF(L$20="CYA",0,L84-L79)</f>
        <v>0</v>
      </c>
      <c r="AZ84" s="281">
        <f t="shared" ref="AZ84" si="91">IF(M$20="CYA",0,M84-M79)</f>
        <v>0</v>
      </c>
      <c r="BA84" s="281">
        <f t="shared" ref="BA84" si="92">IF(N$20="CYA",0,N84-N79)</f>
        <v>0</v>
      </c>
      <c r="BB84" s="281">
        <f t="shared" ref="BB84" si="93">IF(O$20="CYA",0,O84-O79)</f>
        <v>0</v>
      </c>
      <c r="BC84" s="281">
        <f t="shared" ref="BC84" si="94">IF(P$20="CYA",0,P84-P79)</f>
        <v>0</v>
      </c>
      <c r="BD84" s="281">
        <f t="shared" ref="BD84" si="95">IF(Q$20="CYA",0,Q84-Q79)</f>
        <v>0</v>
      </c>
      <c r="BE84" s="281">
        <f t="shared" ref="BE84" si="96">IF(R$20="CYA",0,R84-R79)</f>
        <v>0</v>
      </c>
      <c r="BF84" s="281">
        <f t="shared" ref="BF84" si="97">IF(S$20="CYA",0,S84-S79)</f>
        <v>0</v>
      </c>
      <c r="BG84" s="281">
        <f t="shared" ref="BG84" si="98">IF(T$20="CYA",0,T84-T79)</f>
        <v>0</v>
      </c>
      <c r="BH84" s="281">
        <f t="shared" ref="BH84" si="99">IF(U$20="CYA",0,U84-U79)</f>
        <v>0</v>
      </c>
      <c r="BI84" s="281">
        <f t="shared" ref="BI84" si="100">IF(V$20="CYA",0,V84-V79)</f>
        <v>0</v>
      </c>
    </row>
    <row r="85" spans="1:63" s="55" customFormat="1" ht="16.8">
      <c r="A85" s="105"/>
      <c r="B85" s="106"/>
      <c r="C85" s="112"/>
      <c r="D85" s="110"/>
      <c r="E85" s="112"/>
      <c r="F85" s="74"/>
      <c r="G85" s="100" t="s">
        <v>507</v>
      </c>
      <c r="H85" s="100"/>
      <c r="I85" s="100"/>
      <c r="J85" s="147"/>
      <c r="K85" s="150">
        <f>IF(K$59=0,0,K84/K$59)</f>
        <v>1.2553981373151491E-2</v>
      </c>
      <c r="L85" s="150">
        <f>IF(L$59=0,0,L84/L$59)</f>
        <v>2.5693444356245845E-2</v>
      </c>
      <c r="M85" s="150">
        <f>IF(M$59=0,0,M84/M$59)</f>
        <v>5.556714940374091E-3</v>
      </c>
      <c r="N85" s="150">
        <f>IF(N$59=0,0,N84/N$59)</f>
        <v>7.4321534977405124E-3</v>
      </c>
      <c r="O85" s="150">
        <f>IF(O$59=0,0,O84/O$59)</f>
        <v>6.5157718780547071E-3</v>
      </c>
      <c r="P85" s="150">
        <f>IF(P$59=0,0,P84/P$59)</f>
        <v>1.646663904841637E-2</v>
      </c>
      <c r="Q85" s="150">
        <f>IF(Q$59=0,0,Q84/Q$59)</f>
        <v>1.5497046697204659E-2</v>
      </c>
      <c r="R85" s="150">
        <f>IF(R$59=0,0,R84/R$59)</f>
        <v>1.18241148085984E-2</v>
      </c>
      <c r="S85" s="150">
        <f>IF(S$59=0,0,S84/S$59)</f>
        <v>1.2249551036698449E-2</v>
      </c>
      <c r="T85" s="150">
        <f>IF(T$59=0,0,T84/T$59)</f>
        <v>1.211596000517713E-2</v>
      </c>
      <c r="U85" s="150">
        <f>IF(U$59=0,0,U84/U$59)</f>
        <v>1.2259485642846187E-2</v>
      </c>
      <c r="V85" s="150">
        <f>IF(V$59=0,0,V84/V$59)</f>
        <v>1.149574039181114E-2</v>
      </c>
      <c r="W85" s="150">
        <f>IF(W$59=0,0,W84/W$59)</f>
        <v>1.230368722782408E-2</v>
      </c>
      <c r="X85" s="147"/>
      <c r="Y85" s="150">
        <f>IF(Y$59=0,0,Y84/Y$59)</f>
        <v>1.5065175426174781E-2</v>
      </c>
      <c r="Z85" s="101"/>
      <c r="AA85" s="102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67"/>
      <c r="AP85" s="111"/>
      <c r="AQ85" s="111"/>
      <c r="AR85" s="167"/>
      <c r="AS85" s="167"/>
      <c r="AT85" s="167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</row>
    <row r="86" spans="1:63" ht="16.8">
      <c r="A86" s="105"/>
      <c r="B86" s="106"/>
      <c r="C86" s="112"/>
      <c r="D86" s="110"/>
      <c r="E86" s="112"/>
      <c r="F86" s="74"/>
      <c r="G86" s="95"/>
      <c r="H86" s="67"/>
      <c r="I86" s="67"/>
      <c r="J86" s="67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67"/>
      <c r="X86" s="83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167"/>
      <c r="AS86" s="167"/>
      <c r="AT86" s="167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</row>
    <row r="87" spans="1:63" ht="16.8">
      <c r="A87" s="105" t="str">
        <f>C87</f>
        <v>D_BadDebt</v>
      </c>
      <c r="B87" s="106"/>
      <c r="C87" s="112" t="s">
        <v>336</v>
      </c>
      <c r="D87" s="110"/>
      <c r="E87" s="112"/>
      <c r="F87" s="58"/>
      <c r="G87" s="95" t="s">
        <v>226</v>
      </c>
      <c r="H87" s="67"/>
      <c r="I87" s="67"/>
      <c r="J87" s="67"/>
      <c r="K87" s="96">
        <v>930228.80999999994</v>
      </c>
      <c r="L87" s="96">
        <v>-83309.119999999995</v>
      </c>
      <c r="M87" s="96">
        <v>907730.21</v>
      </c>
      <c r="N87" s="96">
        <v>839380.85000000009</v>
      </c>
      <c r="O87" s="96">
        <v>2025118.09</v>
      </c>
      <c r="P87" s="96">
        <v>908761.72129698098</v>
      </c>
      <c r="Q87" s="96">
        <v>937424.07960575004</v>
      </c>
      <c r="R87" s="96">
        <v>930466.88805573003</v>
      </c>
      <c r="S87" s="96">
        <v>935677.13705828658</v>
      </c>
      <c r="T87" s="96">
        <v>898719.42626301141</v>
      </c>
      <c r="U87" s="96">
        <v>910463.82554348954</v>
      </c>
      <c r="V87" s="96">
        <v>920599.97234080359</v>
      </c>
      <c r="W87" s="96">
        <f>SUM(K87:V87)</f>
        <v>11061261.890164051</v>
      </c>
      <c r="X87" s="96"/>
      <c r="Y87" s="96">
        <v>12643375.128395714</v>
      </c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R87" s="167"/>
      <c r="AS87" s="167"/>
      <c r="AT87" s="167"/>
      <c r="AU87" s="111"/>
      <c r="AV87" s="111"/>
      <c r="AW87" s="111">
        <v>1</v>
      </c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</row>
    <row r="88" spans="1:63" ht="17.399999999999999" thickBot="1">
      <c r="A88" s="105"/>
      <c r="B88" s="106"/>
      <c r="C88" s="112"/>
      <c r="D88" s="110"/>
      <c r="E88" s="112"/>
      <c r="F88" s="58"/>
      <c r="G88" s="95" t="s">
        <v>333</v>
      </c>
      <c r="H88" s="46"/>
      <c r="I88" s="67"/>
      <c r="J88" s="67"/>
      <c r="K88" s="97">
        <f>IF(K$20="CYA",IF(K$59=0,0,K87/K$59),0)</f>
        <v>1.577283007376739E-2</v>
      </c>
      <c r="L88" s="97">
        <f>IF(L$20="CYA",IF(L$59=0,0,L87/L$59),AVERAGE($K88:K88))</f>
        <v>-1.3784226246392642E-3</v>
      </c>
      <c r="M88" s="97">
        <f>IF(M$20="CYA",IF(M$59=0,0,M87/M$59),AVERAGE($K88:L88))</f>
        <v>1.4797369164423597E-2</v>
      </c>
      <c r="N88" s="97">
        <f>IF(N$20="CYA",IF(N$59=0,0,N87/N$59),AVERAGE($K88:M88))</f>
        <v>1.3921516383646464E-2</v>
      </c>
      <c r="O88" s="97">
        <f>IF(O$20="CYA",IF(O$59=0,0,O87/O$59),AVERAGE($K88:N88))</f>
        <v>3.2961997726349529E-2</v>
      </c>
      <c r="P88" s="97">
        <f>IF(P$20="CYA",IF(P$59=0,0,P87/P$59),AVERAGE($K88:O88))</f>
        <v>2.1545494143802031E-2</v>
      </c>
      <c r="Q88" s="97">
        <f>IF(Q$20="CYA",IF(Q$59=0,0,Q87/Q$59),AVERAGE($K88:P88))</f>
        <v>2.1368043104840997E-2</v>
      </c>
      <c r="R88" s="97">
        <f>IF(R$20="CYA",IF(R$59=0,0,R87/R$59),AVERAGE($K88:Q88))</f>
        <v>2.0777779008260961E-2</v>
      </c>
      <c r="S88" s="97">
        <f>IF(S$20="CYA",IF(S$59=0,0,S87/S$59),AVERAGE($K88:R88))</f>
        <v>1.7470825872556463E-2</v>
      </c>
      <c r="T88" s="97">
        <f>IF(T$20="CYA",IF(T$59=0,0,T87/T$59),AVERAGE($K88:S88))</f>
        <v>1.7470825872556463E-2</v>
      </c>
      <c r="U88" s="97">
        <f>IF(U$20="CYA",IF(U$59=0,0,U87/U$59),AVERAGE($K88:T88))</f>
        <v>1.7470825872556463E-2</v>
      </c>
      <c r="V88" s="97">
        <f>IF(V$20="CYA",IF(V$59=0,0,V87/V$59),AVERAGE($K88:U88))</f>
        <v>1.7470825872556463E-2</v>
      </c>
      <c r="W88" s="97">
        <f>IF(W$40=0,0,W87/W$40)</f>
        <v>0</v>
      </c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46"/>
      <c r="AP88" s="46"/>
      <c r="AQ88" s="46"/>
      <c r="AR88" s="167"/>
      <c r="AS88" s="167"/>
      <c r="AT88" s="167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</row>
    <row r="89" spans="1:63" ht="18" thickTop="1" thickBot="1">
      <c r="A89" s="113"/>
      <c r="B89" s="106"/>
      <c r="C89" s="112" t="str">
        <f>"ACCT.FSDetail='"&amp;C87&amp;"'"</f>
        <v>ACCT.FSDetail='D_BadDebt'</v>
      </c>
      <c r="D89" s="110" t="s">
        <v>411</v>
      </c>
      <c r="E89" s="112"/>
      <c r="F89" s="58"/>
      <c r="G89" s="95" t="s">
        <v>328</v>
      </c>
      <c r="H89" s="58"/>
      <c r="I89" s="46"/>
      <c r="J89" s="117"/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0</v>
      </c>
      <c r="Q89" s="86">
        <v>0</v>
      </c>
      <c r="R89" s="86">
        <v>0</v>
      </c>
      <c r="S89" s="90">
        <f t="shared" ref="S89:V90" si="101">AK89</f>
        <v>0</v>
      </c>
      <c r="T89" s="90">
        <f t="shared" si="101"/>
        <v>0</v>
      </c>
      <c r="U89" s="90">
        <f t="shared" si="101"/>
        <v>0</v>
      </c>
      <c r="V89" s="90">
        <f t="shared" si="101"/>
        <v>0</v>
      </c>
      <c r="W89" s="97">
        <f>IF(W92=0,0,1-(SUM(W91,W87)/W92))</f>
        <v>0</v>
      </c>
      <c r="X89" s="97"/>
      <c r="Y89" s="97"/>
      <c r="Z89" s="97"/>
      <c r="AA89" s="97"/>
      <c r="AB89" s="97"/>
      <c r="AC89" s="97" cm="1">
        <f t="array" ref="AC89">IF(AC$7="",0,_xll.GetData(AC$7,$AQ89))</f>
        <v>0</v>
      </c>
      <c r="AD89" s="97" cm="1">
        <f t="array" ref="AD89">IF(AD$7="",0,_xll.GetData(AD$7,$AQ89))</f>
        <v>0</v>
      </c>
      <c r="AE89" s="97" cm="1">
        <f t="array" ref="AE89">IF(AE$7="",0,_xll.GetData(AE$7,$AQ89))</f>
        <v>0</v>
      </c>
      <c r="AF89" s="97" cm="1">
        <f t="array" ref="AF89">IF(AF$7="",0,_xll.GetData(AF$7,$AQ89))</f>
        <v>0</v>
      </c>
      <c r="AG89" s="97" cm="1">
        <f t="array" ref="AG89">IF(AG$7="",0,_xll.GetData(AG$7,$AQ89))</f>
        <v>0</v>
      </c>
      <c r="AH89" s="97" cm="1">
        <f t="array" ref="AH89">IF(AH$7="",0,_xll.GetData(AH$7,$AQ89))</f>
        <v>0</v>
      </c>
      <c r="AI89" s="97" cm="1">
        <f t="array" ref="AI89">IF(AI$7="",0,_xll.GetData(AI$7,$AQ89))</f>
        <v>0</v>
      </c>
      <c r="AJ89" s="97" cm="1">
        <f t="array" ref="AJ89">IF(AJ$7="",0,_xll.GetData(AJ$7,$AQ89))</f>
        <v>0</v>
      </c>
      <c r="AK89" s="97" cm="1">
        <f t="array" ref="AK89">IF(AK$7="",0,_xll.GetData(AK$7,$AQ89))</f>
        <v>0</v>
      </c>
      <c r="AL89" s="97" cm="1">
        <f t="array" ref="AL89">IF(AL$7="",0,_xll.GetData(AL$7,$AQ89))</f>
        <v>0</v>
      </c>
      <c r="AM89" s="97" cm="1">
        <f t="array" ref="AM89">IF(AM$7="",0,_xll.GetData(AM$7,$AQ89))</f>
        <v>0</v>
      </c>
      <c r="AN89" s="97" cm="1">
        <f t="array" ref="AN89">IF(AN$7="",0,_xll.GetData(AN$7,$AQ89))</f>
        <v>0</v>
      </c>
      <c r="AO89" s="69"/>
      <c r="AP89" s="111">
        <f>AP92</f>
        <v>27</v>
      </c>
      <c r="AQ89" s="111" t="str">
        <f>"Dept="&amp;AU89&amp;" And Acct="&amp;AV89</f>
        <v>Dept=0 And Acct=52500</v>
      </c>
      <c r="AR89" s="167" t="str">
        <f>IF(OR(AU89=0,AV89=0),"NoSave","[Save]")</f>
        <v>NoSave</v>
      </c>
      <c r="AS89" s="167"/>
      <c r="AT89" s="167"/>
      <c r="AU89" s="111">
        <f>AU92</f>
        <v>0</v>
      </c>
      <c r="AV89" s="111">
        <f>AV92</f>
        <v>52500</v>
      </c>
      <c r="AW89" s="111">
        <v>1</v>
      </c>
      <c r="AX89" s="280">
        <f>IF(K$20="CYA",0,K89)</f>
        <v>0</v>
      </c>
      <c r="AY89" s="280">
        <f t="shared" ref="AY89:AY90" si="102">IF(L$20="CYA",0,L89)</f>
        <v>0</v>
      </c>
      <c r="AZ89" s="280">
        <f t="shared" ref="AZ89:AZ90" si="103">IF(M$20="CYA",0,M89)</f>
        <v>0</v>
      </c>
      <c r="BA89" s="280">
        <f t="shared" ref="BA89:BA90" si="104">IF(N$20="CYA",0,N89)</f>
        <v>0</v>
      </c>
      <c r="BB89" s="280">
        <f t="shared" ref="BB89:BB90" si="105">IF(O$20="CYA",0,O89)</f>
        <v>0</v>
      </c>
      <c r="BC89" s="280">
        <f t="shared" ref="BC89:BC90" si="106">IF(P$20="CYA",0,P89)</f>
        <v>0</v>
      </c>
      <c r="BD89" s="280">
        <f t="shared" ref="BD89:BD90" si="107">IF(Q$20="CYA",0,Q89)</f>
        <v>0</v>
      </c>
      <c r="BE89" s="280">
        <f t="shared" ref="BE89:BE90" si="108">IF(R$20="CYA",0,R89)</f>
        <v>0</v>
      </c>
      <c r="BF89" s="280">
        <f t="shared" ref="BF89:BF90" si="109">IF(S$20="CYA",0,S89)</f>
        <v>0</v>
      </c>
      <c r="BG89" s="280">
        <f t="shared" ref="BG89:BG90" si="110">IF(T$20="CYA",0,T89)</f>
        <v>0</v>
      </c>
      <c r="BH89" s="280">
        <f t="shared" ref="BH89:BH90" si="111">IF(U$20="CYA",0,U89)</f>
        <v>0</v>
      </c>
      <c r="BI89" s="280">
        <f t="shared" ref="BI89:BI90" si="112">IF(V$20="CYA",0,V89)</f>
        <v>0</v>
      </c>
      <c r="BJ89" s="90">
        <f>CB89</f>
        <v>0</v>
      </c>
      <c r="BK89" s="86">
        <v>0</v>
      </c>
    </row>
    <row r="90" spans="1:63" s="55" customFormat="1" ht="18" thickTop="1" thickBot="1">
      <c r="A90" s="105"/>
      <c r="B90" s="106"/>
      <c r="C90" s="112"/>
      <c r="D90" s="110" t="s">
        <v>411</v>
      </c>
      <c r="E90" s="112"/>
      <c r="F90" s="58"/>
      <c r="G90" s="95" t="s">
        <v>329</v>
      </c>
      <c r="H90" s="58"/>
      <c r="I90" s="71"/>
      <c r="J90" s="67"/>
      <c r="K90" s="96">
        <v>0</v>
      </c>
      <c r="L90" s="96">
        <v>0</v>
      </c>
      <c r="M90" s="96">
        <v>0</v>
      </c>
      <c r="N90" s="96">
        <v>0</v>
      </c>
      <c r="O90" s="96">
        <v>0</v>
      </c>
      <c r="P90" s="96">
        <v>0</v>
      </c>
      <c r="Q90" s="96">
        <v>0</v>
      </c>
      <c r="R90" s="96">
        <v>0</v>
      </c>
      <c r="S90" s="89">
        <f t="shared" si="101"/>
        <v>0</v>
      </c>
      <c r="T90" s="89">
        <f t="shared" si="101"/>
        <v>0</v>
      </c>
      <c r="U90" s="89">
        <f t="shared" si="101"/>
        <v>0</v>
      </c>
      <c r="V90" s="89">
        <f t="shared" si="101"/>
        <v>0</v>
      </c>
      <c r="W90" s="96">
        <f>SUM(K90:V90)</f>
        <v>0</v>
      </c>
      <c r="X90" s="96"/>
      <c r="Y90" s="96"/>
      <c r="Z90" s="96"/>
      <c r="AA90" s="96"/>
      <c r="AB90" s="96"/>
      <c r="AC90" s="96" cm="1">
        <f t="array" ref="AC90">IF(AC$8="",0,_xll.GetData(AC$8,$AQ90))</f>
        <v>0</v>
      </c>
      <c r="AD90" s="96" cm="1">
        <f t="array" ref="AD90">IF(AD$8="",0,_xll.GetData(AD$8,$AQ90))</f>
        <v>0</v>
      </c>
      <c r="AE90" s="96" cm="1">
        <f t="array" ref="AE90">IF(AE$8="",0,_xll.GetData(AE$8,$AQ90))</f>
        <v>0</v>
      </c>
      <c r="AF90" s="96" cm="1">
        <f t="array" ref="AF90">IF(AF$8="",0,_xll.GetData(AF$8,$AQ90))</f>
        <v>0</v>
      </c>
      <c r="AG90" s="96" cm="1">
        <f t="array" ref="AG90">IF(AG$8="",0,_xll.GetData(AG$8,$AQ90))</f>
        <v>0</v>
      </c>
      <c r="AH90" s="96" cm="1">
        <f t="array" ref="AH90">IF(AH$8="",0,_xll.GetData(AH$8,$AQ90))</f>
        <v>0</v>
      </c>
      <c r="AI90" s="96" cm="1">
        <f t="array" ref="AI90">IF(AI$8="",0,_xll.GetData(AI$8,$AQ90))</f>
        <v>0</v>
      </c>
      <c r="AJ90" s="96" cm="1">
        <f t="array" ref="AJ90">IF(AJ$8="",0,_xll.GetData(AJ$8,$AQ90))</f>
        <v>0</v>
      </c>
      <c r="AK90" s="96" cm="1">
        <f t="array" ref="AK90">IF(AK$8="",0,_xll.GetData(AK$8,$AQ90))</f>
        <v>0</v>
      </c>
      <c r="AL90" s="96" cm="1">
        <f t="array" ref="AL90">IF(AL$8="",0,_xll.GetData(AL$8,$AQ90))</f>
        <v>0</v>
      </c>
      <c r="AM90" s="96" cm="1">
        <f t="array" ref="AM90">IF(AM$8="",0,_xll.GetData(AM$8,$AQ90))</f>
        <v>0</v>
      </c>
      <c r="AN90" s="96" cm="1">
        <f t="array" ref="AN90">IF(AN$8="",0,_xll.GetData(AN$8,$AQ90))</f>
        <v>0</v>
      </c>
      <c r="AO90" s="69"/>
      <c r="AP90" s="111">
        <f>AP92</f>
        <v>27</v>
      </c>
      <c r="AQ90" s="111" t="str">
        <f>"Dept="&amp;AU90&amp;" And Acct="&amp;AV90</f>
        <v>Dept=0 And Acct=52500</v>
      </c>
      <c r="AR90" s="167"/>
      <c r="AS90" s="167" t="str">
        <f>IF(OR(AU90=0,AV90=0),"NoSave","[Save]")</f>
        <v>NoSave</v>
      </c>
      <c r="AT90" s="167"/>
      <c r="AU90" s="111">
        <f>AU92</f>
        <v>0</v>
      </c>
      <c r="AV90" s="111">
        <f>AV92</f>
        <v>52500</v>
      </c>
      <c r="AW90" s="111">
        <v>1</v>
      </c>
      <c r="AX90" s="281">
        <f>IF(K$20="CYA",0,K90)</f>
        <v>0</v>
      </c>
      <c r="AY90" s="281">
        <f t="shared" si="102"/>
        <v>0</v>
      </c>
      <c r="AZ90" s="281">
        <f t="shared" si="103"/>
        <v>0</v>
      </c>
      <c r="BA90" s="281">
        <f t="shared" si="104"/>
        <v>0</v>
      </c>
      <c r="BB90" s="281">
        <f t="shared" si="105"/>
        <v>0</v>
      </c>
      <c r="BC90" s="281">
        <f t="shared" si="106"/>
        <v>0</v>
      </c>
      <c r="BD90" s="281">
        <f t="shared" si="107"/>
        <v>0</v>
      </c>
      <c r="BE90" s="281">
        <f t="shared" si="108"/>
        <v>0</v>
      </c>
      <c r="BF90" s="281">
        <f t="shared" si="109"/>
        <v>0</v>
      </c>
      <c r="BG90" s="281">
        <f t="shared" si="110"/>
        <v>0</v>
      </c>
      <c r="BH90" s="281">
        <f t="shared" si="111"/>
        <v>0</v>
      </c>
      <c r="BI90" s="281">
        <f t="shared" si="112"/>
        <v>0</v>
      </c>
      <c r="BJ90" s="89">
        <f>CB90</f>
        <v>0</v>
      </c>
      <c r="BK90" s="96">
        <v>0</v>
      </c>
    </row>
    <row r="91" spans="1:63" ht="17.399999999999999" thickTop="1">
      <c r="A91" s="105"/>
      <c r="B91" s="114"/>
      <c r="C91" s="112"/>
      <c r="D91" s="110" t="s">
        <v>411</v>
      </c>
      <c r="E91" s="112"/>
      <c r="F91" s="58"/>
      <c r="G91" s="95" t="s">
        <v>425</v>
      </c>
      <c r="H91" s="58"/>
      <c r="I91" s="71"/>
      <c r="J91" s="67"/>
      <c r="K91" s="96">
        <v>0</v>
      </c>
      <c r="L91" s="96">
        <v>0</v>
      </c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>
        <v>0</v>
      </c>
      <c r="S91" s="96">
        <f t="shared" ref="S91:V91" si="113">S87*S89+S90</f>
        <v>0</v>
      </c>
      <c r="T91" s="96">
        <f t="shared" si="113"/>
        <v>0</v>
      </c>
      <c r="U91" s="96">
        <f t="shared" si="113"/>
        <v>0</v>
      </c>
      <c r="V91" s="96">
        <f t="shared" si="113"/>
        <v>0</v>
      </c>
      <c r="W91" s="96">
        <f>SUM(K91:V91)</f>
        <v>0</v>
      </c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69"/>
      <c r="AP91" s="111"/>
      <c r="AQ91" s="111"/>
      <c r="AR91" s="167"/>
      <c r="AS91" s="167"/>
      <c r="AT91" s="167"/>
      <c r="AU91" s="111"/>
      <c r="AV91" s="111"/>
      <c r="AW91" s="111"/>
      <c r="AX91" s="281"/>
      <c r="AY91" s="281"/>
      <c r="AZ91" s="281"/>
      <c r="BA91" s="281"/>
      <c r="BB91" s="281"/>
      <c r="BC91" s="281"/>
      <c r="BD91" s="281"/>
      <c r="BE91" s="281"/>
      <c r="BF91" s="281"/>
      <c r="BG91" s="281"/>
      <c r="BH91" s="281"/>
      <c r="BI91" s="281"/>
      <c r="BJ91" s="96">
        <f>BJ87*BJ89+BJ90</f>
        <v>0</v>
      </c>
      <c r="BK91" s="96">
        <v>0</v>
      </c>
    </row>
    <row r="92" spans="1:63" ht="16.8">
      <c r="A92" s="105"/>
      <c r="B92" s="106" t="str">
        <f>C87</f>
        <v>D_BadDebt</v>
      </c>
      <c r="C92" s="112"/>
      <c r="D92" s="110"/>
      <c r="E92" s="112"/>
      <c r="F92" s="74"/>
      <c r="G92" s="100" t="str">
        <f>"   Total "&amp;G87</f>
        <v xml:space="preserve">   Total Bad Debt</v>
      </c>
      <c r="H92" s="100"/>
      <c r="I92" s="116"/>
      <c r="J92" s="116"/>
      <c r="K92" s="116">
        <f>IF(K$20="CYA",K87,SUM(K87,K91))</f>
        <v>930228.80999999994</v>
      </c>
      <c r="L92" s="116">
        <f>IF(L$20="CYA",L87,SUM(L87,L91))</f>
        <v>-83309.119999999995</v>
      </c>
      <c r="M92" s="116">
        <f>IF(M$20="CYA",M87,SUM(M87,M91))</f>
        <v>907730.21</v>
      </c>
      <c r="N92" s="116">
        <f>IF(N$20="CYA",N87,SUM(N87,N91))</f>
        <v>839380.85000000009</v>
      </c>
      <c r="O92" s="116">
        <f>IF(O$20="CYA",O87,SUM(O87,O91))</f>
        <v>2025118.09</v>
      </c>
      <c r="P92" s="116">
        <f>IF(P$20="CYA",P87,SUM(P87,P91))</f>
        <v>908761.72129698098</v>
      </c>
      <c r="Q92" s="116">
        <f>IF(Q$20="CYA",Q87,SUM(Q87,Q91))</f>
        <v>937424.07960575004</v>
      </c>
      <c r="R92" s="116">
        <f>IF(R$20="CYA",R87,SUM(R87,R91))</f>
        <v>930466.88805573003</v>
      </c>
      <c r="S92" s="116">
        <f>IF(S$20="CYA",S87,SUM(S87,S91))</f>
        <v>935677.13705828658</v>
      </c>
      <c r="T92" s="116">
        <f>IF(T$20="CYA",T87,SUM(T87,T91))</f>
        <v>898719.42626301141</v>
      </c>
      <c r="U92" s="116">
        <f>IF(U$20="CYA",U87,SUM(U87,U91))</f>
        <v>910463.82554348954</v>
      </c>
      <c r="V92" s="116">
        <f>IF(V$20="CYA",V87,SUM(V87,V91))</f>
        <v>920599.97234080359</v>
      </c>
      <c r="W92" s="116">
        <f>SUM(K92:V92)</f>
        <v>11061261.890164051</v>
      </c>
      <c r="X92" s="116"/>
      <c r="Y92" s="116">
        <f>SUM(Y87:Y91)</f>
        <v>12643375.128395714</v>
      </c>
      <c r="Z92" s="101">
        <f>Y92-W92</f>
        <v>1582113.2382316627</v>
      </c>
      <c r="AA92" s="102">
        <f>IF(Y92=0,0,Z92/Y92)</f>
        <v>0.12513377339239107</v>
      </c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67"/>
      <c r="AP92" s="111">
        <f>ROW(Control!D27)</f>
        <v>27</v>
      </c>
      <c r="AQ92" s="111"/>
      <c r="AR92" s="167"/>
      <c r="AS92" s="167"/>
      <c r="AT92" s="167" t="str">
        <f>IF(OR(AU92=0,AV92=0),"NoSave","[Save]")</f>
        <v>NoSave</v>
      </c>
      <c r="AU92" s="111" cm="1">
        <f t="array" ref="AU92">INDEX(Control!G$1:G$9997,$AP92)</f>
        <v>0</v>
      </c>
      <c r="AV92" s="111" cm="1">
        <f t="array" ref="AV92">INDEX(Control!I$1:I$9997,$AP92)</f>
        <v>52500</v>
      </c>
      <c r="AW92" s="111">
        <v>1</v>
      </c>
      <c r="AX92" s="281">
        <f>IF(K$20="CYA",0,K92-K87)</f>
        <v>0</v>
      </c>
      <c r="AY92" s="281">
        <f t="shared" ref="AY92" si="114">IF(L$20="CYA",0,L92-L87)</f>
        <v>0</v>
      </c>
      <c r="AZ92" s="281">
        <f t="shared" ref="AZ92" si="115">IF(M$20="CYA",0,M92-M87)</f>
        <v>0</v>
      </c>
      <c r="BA92" s="281">
        <f t="shared" ref="BA92" si="116">IF(N$20="CYA",0,N92-N87)</f>
        <v>0</v>
      </c>
      <c r="BB92" s="281">
        <f t="shared" ref="BB92" si="117">IF(O$20="CYA",0,O92-O87)</f>
        <v>0</v>
      </c>
      <c r="BC92" s="281">
        <f t="shared" ref="BC92" si="118">IF(P$20="CYA",0,P92-P87)</f>
        <v>0</v>
      </c>
      <c r="BD92" s="281">
        <f t="shared" ref="BD92" si="119">IF(Q$20="CYA",0,Q92-Q87)</f>
        <v>0</v>
      </c>
      <c r="BE92" s="281">
        <f t="shared" ref="BE92" si="120">IF(R$20="CYA",0,R92-R87)</f>
        <v>0</v>
      </c>
      <c r="BF92" s="281">
        <f t="shared" ref="BF92" si="121">IF(S$20="CYA",0,S92-S87)</f>
        <v>0</v>
      </c>
      <c r="BG92" s="281">
        <f t="shared" ref="BG92" si="122">IF(T$20="CYA",0,T92-T87)</f>
        <v>0</v>
      </c>
      <c r="BH92" s="281">
        <f t="shared" ref="BH92" si="123">IF(U$20="CYA",0,U92-U87)</f>
        <v>0</v>
      </c>
      <c r="BI92" s="281">
        <f t="shared" ref="BI92" si="124">IF(V$20="CYA",0,V92-V87)</f>
        <v>0</v>
      </c>
    </row>
    <row r="93" spans="1:63" s="55" customFormat="1" ht="16.8">
      <c r="A93" s="105"/>
      <c r="B93" s="106"/>
      <c r="C93" s="112"/>
      <c r="D93" s="110"/>
      <c r="E93" s="112"/>
      <c r="F93" s="74"/>
      <c r="G93" s="100" t="s">
        <v>507</v>
      </c>
      <c r="H93" s="100"/>
      <c r="I93" s="100"/>
      <c r="J93" s="147"/>
      <c r="K93" s="150">
        <f>IF(K$59=0,0,K92/K$59)</f>
        <v>1.577283007376739E-2</v>
      </c>
      <c r="L93" s="150">
        <f>IF(L$59=0,0,L92/L$59)</f>
        <v>-1.3784226246392642E-3</v>
      </c>
      <c r="M93" s="150">
        <f>IF(M$59=0,0,M92/M$59)</f>
        <v>1.4797369164423597E-2</v>
      </c>
      <c r="N93" s="150">
        <f>IF(N$59=0,0,N92/N$59)</f>
        <v>1.3921516383646464E-2</v>
      </c>
      <c r="O93" s="150">
        <f>IF(O$59=0,0,O92/O$59)</f>
        <v>3.2961997726349529E-2</v>
      </c>
      <c r="P93" s="150">
        <f>IF(P$59=0,0,P92/P$59)</f>
        <v>2.1545494143802031E-2</v>
      </c>
      <c r="Q93" s="150">
        <f>IF(Q$59=0,0,Q92/Q$59)</f>
        <v>2.1368043104840997E-2</v>
      </c>
      <c r="R93" s="150">
        <f>IF(R$59=0,0,R92/R$59)</f>
        <v>2.0777779008260961E-2</v>
      </c>
      <c r="S93" s="150">
        <f>IF(S$59=0,0,S92/S$59)</f>
        <v>2.0515893956233829E-2</v>
      </c>
      <c r="T93" s="150">
        <f>IF(T$59=0,0,T92/T$59)</f>
        <v>1.907101302377371E-2</v>
      </c>
      <c r="U93" s="150">
        <f>IF(U$59=0,0,U92/U$59)</f>
        <v>1.8350594573795658E-2</v>
      </c>
      <c r="V93" s="150">
        <f>IF(V$59=0,0,V92/V$59)</f>
        <v>1.7922140048779386E-2</v>
      </c>
      <c r="W93" s="150">
        <f>IF(W$59=0,0,W92/W$59)</f>
        <v>1.7640573416707796E-2</v>
      </c>
      <c r="X93" s="147"/>
      <c r="Y93" s="150">
        <f>IF(Y$59=0,0,Y92/Y$59)</f>
        <v>2.048052854467489E-2</v>
      </c>
      <c r="Z93" s="101"/>
      <c r="AA93" s="102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67"/>
      <c r="AP93" s="111"/>
      <c r="AQ93" s="111"/>
      <c r="AR93" s="167"/>
      <c r="AS93" s="167"/>
      <c r="AT93" s="167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</row>
    <row r="94" spans="1:63" ht="16.8">
      <c r="A94" s="105"/>
      <c r="B94" s="106"/>
      <c r="C94" s="112"/>
      <c r="D94" s="110"/>
      <c r="E94" s="112"/>
      <c r="F94" s="74"/>
      <c r="G94" s="75"/>
      <c r="H94" s="67"/>
      <c r="I94" s="71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83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167"/>
      <c r="AS94" s="167"/>
      <c r="AT94" s="167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</row>
    <row r="95" spans="1:63" ht="16.8">
      <c r="A95" s="105"/>
      <c r="B95" s="106"/>
      <c r="C95" s="112"/>
      <c r="D95" s="110"/>
      <c r="E95" s="112"/>
      <c r="F95" s="58"/>
      <c r="G95" s="100" t="s">
        <v>227</v>
      </c>
      <c r="H95" s="100"/>
      <c r="I95" s="100"/>
      <c r="J95" s="116"/>
      <c r="K95" s="116">
        <f>SUM(K68,K76,K84,K92)</f>
        <v>33112115.63958919</v>
      </c>
      <c r="L95" s="116">
        <f>SUM(L68,L76,L84,L92)</f>
        <v>33436748.48642423</v>
      </c>
      <c r="M95" s="116">
        <f>SUM(M68,M76,M84,M92)</f>
        <v>33723087.936958715</v>
      </c>
      <c r="N95" s="116">
        <f>SUM(N68,N76,N84,N92)</f>
        <v>33130762.989818048</v>
      </c>
      <c r="O95" s="116">
        <f>SUM(O68,O76,O84,O92)</f>
        <v>33250947.57205699</v>
      </c>
      <c r="P95" s="116">
        <f>SUM(P68,P76,P84,P92)</f>
        <v>19090071.089095678</v>
      </c>
      <c r="Q95" s="116">
        <f>SUM(Q68,Q76,Q84,Q92)</f>
        <v>18533759.520004053</v>
      </c>
      <c r="R95" s="116">
        <f>SUM(R68,R76,R84,R92)</f>
        <v>19895614.524852023</v>
      </c>
      <c r="S95" s="116">
        <f>SUM(S68,S76,S84,S92)</f>
        <v>20606349.736106526</v>
      </c>
      <c r="T95" s="116">
        <f>SUM(T68,T76,T84,T92)</f>
        <v>21060356.475640323</v>
      </c>
      <c r="U95" s="116">
        <f>SUM(U68,U76,U84,U92)</f>
        <v>23788222.781791482</v>
      </c>
      <c r="V95" s="116">
        <f>SUM(V68,V76,V84,V92)</f>
        <v>25105303.218251403</v>
      </c>
      <c r="W95" s="116">
        <f>SUM(W68,W76,W84,W92)</f>
        <v>314733339.97058868</v>
      </c>
      <c r="X95" s="116"/>
      <c r="Y95" s="116">
        <f>SUM(Y68,Y76,Y84,Y92)</f>
        <v>287870224.4515962</v>
      </c>
      <c r="Z95" s="116">
        <f>Y95-W95</f>
        <v>-26863115.518992484</v>
      </c>
      <c r="AA95" s="102">
        <f>IF(Y95=0,0,Z95/Y95)</f>
        <v>-9.3316756083988012E-2</v>
      </c>
      <c r="AB95" s="116"/>
      <c r="AC95" s="116">
        <f t="shared" ref="AC95:AN95" si="125">SUM(AC68,AC76,AC84,AC92)</f>
        <v>0</v>
      </c>
      <c r="AD95" s="116">
        <f t="shared" si="125"/>
        <v>0</v>
      </c>
      <c r="AE95" s="116">
        <f t="shared" si="125"/>
        <v>0</v>
      </c>
      <c r="AF95" s="116">
        <f t="shared" si="125"/>
        <v>0</v>
      </c>
      <c r="AG95" s="116">
        <f t="shared" si="125"/>
        <v>0</v>
      </c>
      <c r="AH95" s="116">
        <f t="shared" si="125"/>
        <v>0</v>
      </c>
      <c r="AI95" s="116">
        <f t="shared" si="125"/>
        <v>0</v>
      </c>
      <c r="AJ95" s="116">
        <f t="shared" si="125"/>
        <v>0</v>
      </c>
      <c r="AK95" s="116">
        <f t="shared" si="125"/>
        <v>0</v>
      </c>
      <c r="AL95" s="116">
        <f t="shared" si="125"/>
        <v>0</v>
      </c>
      <c r="AM95" s="116">
        <f t="shared" si="125"/>
        <v>0</v>
      </c>
      <c r="AN95" s="116">
        <f t="shared" si="125"/>
        <v>0</v>
      </c>
      <c r="AO95" s="67"/>
      <c r="AR95" s="167"/>
      <c r="AS95" s="167"/>
      <c r="AT95" s="167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</row>
    <row r="96" spans="1:63" s="55" customFormat="1" ht="16.8">
      <c r="A96" s="105"/>
      <c r="B96" s="106"/>
      <c r="C96" s="112"/>
      <c r="D96" s="110"/>
      <c r="E96" s="112"/>
      <c r="F96" s="74"/>
      <c r="G96" s="100" t="s">
        <v>507</v>
      </c>
      <c r="H96" s="100"/>
      <c r="I96" s="100"/>
      <c r="J96" s="147"/>
      <c r="K96" s="150">
        <f>IF(K$59=0,0,K95/K$59)</f>
        <v>0.56144441856856275</v>
      </c>
      <c r="L96" s="150">
        <f>IF(L$59=0,0,L95/L$59)</f>
        <v>0.5532403968264199</v>
      </c>
      <c r="M96" s="150">
        <f>IF(M$59=0,0,M95/M$59)</f>
        <v>0.54973710918742946</v>
      </c>
      <c r="N96" s="150">
        <f>IF(N$59=0,0,N95/N$59)</f>
        <v>0.54948889978304816</v>
      </c>
      <c r="O96" s="150">
        <f>IF(O$59=0,0,O95/O$59)</f>
        <v>0.54121172670434736</v>
      </c>
      <c r="P96" s="150">
        <f>IF(P$59=0,0,P95/P$59)</f>
        <v>0.45259940556019745</v>
      </c>
      <c r="Q96" s="150">
        <f>IF(Q$59=0,0,Q95/Q$59)</f>
        <v>0.42246639587577178</v>
      </c>
      <c r="R96" s="150">
        <f>IF(R$59=0,0,R95/R$59)</f>
        <v>0.44427876707651581</v>
      </c>
      <c r="S96" s="150">
        <f>IF(S$59=0,0,S95/S$59)</f>
        <v>0.451820044828875</v>
      </c>
      <c r="T96" s="150">
        <f>IF(T$59=0,0,T95/T$59)</f>
        <v>0.44690514179974172</v>
      </c>
      <c r="U96" s="150">
        <f>IF(U$59=0,0,U95/U$59)</f>
        <v>0.47945675561487056</v>
      </c>
      <c r="V96" s="150">
        <f>IF(V$59=0,0,V95/V$59)</f>
        <v>0.48874731019219136</v>
      </c>
      <c r="W96" s="150">
        <f>IF(W$59=0,0,W95/W$59)</f>
        <v>0.5019388064009106</v>
      </c>
      <c r="X96" s="147"/>
      <c r="Y96" s="150">
        <f>IF(Y$59=0,0,Y95/Y$59)</f>
        <v>0.46631016553496646</v>
      </c>
      <c r="Z96" s="101"/>
      <c r="AA96" s="102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67"/>
      <c r="AP96" s="111"/>
      <c r="AQ96" s="111"/>
      <c r="AR96" s="167"/>
      <c r="AS96" s="167"/>
      <c r="AT96" s="167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</row>
    <row r="97" spans="1:63" ht="16.8">
      <c r="A97" s="105"/>
      <c r="B97" s="106"/>
      <c r="C97" s="112"/>
      <c r="D97" s="110"/>
      <c r="E97" s="112"/>
      <c r="F97" s="58"/>
      <c r="G97" s="68"/>
      <c r="H97" s="67"/>
      <c r="I97" s="71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53"/>
      <c r="AR97" s="167"/>
      <c r="AS97" s="167"/>
      <c r="AT97" s="167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</row>
    <row r="98" spans="1:63" ht="16.8">
      <c r="A98" s="105"/>
      <c r="B98" s="106"/>
      <c r="C98" s="112"/>
      <c r="D98" s="110"/>
      <c r="E98" s="112"/>
      <c r="F98" s="58"/>
      <c r="G98" s="100" t="s">
        <v>228</v>
      </c>
      <c r="H98" s="100"/>
      <c r="I98" s="100"/>
      <c r="J98" s="116"/>
      <c r="K98" s="116">
        <f>K59-K95</f>
        <v>25864542.680410817</v>
      </c>
      <c r="L98" s="116">
        <f>L59-L95</f>
        <v>27001261.243575774</v>
      </c>
      <c r="M98" s="116">
        <f>M59-M95</f>
        <v>27620938.823041283</v>
      </c>
      <c r="N98" s="116">
        <f>N59-N95</f>
        <v>27163017.290181953</v>
      </c>
      <c r="O98" s="116">
        <f>O59-O95</f>
        <v>28187018.257943008</v>
      </c>
      <c r="P98" s="116">
        <f>P59-P95</f>
        <v>23088665.459325675</v>
      </c>
      <c r="Q98" s="116">
        <f>Q59-Q95</f>
        <v>25336616.209132027</v>
      </c>
      <c r="R98" s="116">
        <f>R59-R95</f>
        <v>24886211.66002506</v>
      </c>
      <c r="S98" s="116">
        <f>S59-S95</f>
        <v>25001077.317978907</v>
      </c>
      <c r="T98" s="116">
        <f>T59-T95</f>
        <v>26064535.376862627</v>
      </c>
      <c r="U98" s="116">
        <f>U59-U95</f>
        <v>25826726.852789659</v>
      </c>
      <c r="V98" s="116">
        <f>V59-V95</f>
        <v>26261328.77073935</v>
      </c>
      <c r="W98" s="116">
        <f>W59-W95</f>
        <v>312301939.94200611</v>
      </c>
      <c r="X98" s="116"/>
      <c r="Y98" s="116">
        <f>Y59-Y95</f>
        <v>329466144.61799496</v>
      </c>
      <c r="Z98" s="116">
        <f>W98-Y98</f>
        <v>-17164204.675988853</v>
      </c>
      <c r="AA98" s="102">
        <f>IF(Y98=0,0,Z98/Y98)</f>
        <v>-5.2097021063849148E-2</v>
      </c>
      <c r="AB98" s="116"/>
      <c r="AC98" s="116">
        <f t="shared" ref="AC98:AN98" si="126">AC59-AC95</f>
        <v>0</v>
      </c>
      <c r="AD98" s="116">
        <f t="shared" si="126"/>
        <v>0</v>
      </c>
      <c r="AE98" s="116">
        <f t="shared" si="126"/>
        <v>0</v>
      </c>
      <c r="AF98" s="116">
        <f t="shared" si="126"/>
        <v>0</v>
      </c>
      <c r="AG98" s="116">
        <f t="shared" si="126"/>
        <v>0</v>
      </c>
      <c r="AH98" s="116">
        <f t="shared" si="126"/>
        <v>0</v>
      </c>
      <c r="AI98" s="116">
        <f t="shared" si="126"/>
        <v>0</v>
      </c>
      <c r="AJ98" s="116">
        <f t="shared" si="126"/>
        <v>0</v>
      </c>
      <c r="AK98" s="116">
        <f t="shared" si="126"/>
        <v>0</v>
      </c>
      <c r="AL98" s="116">
        <f t="shared" si="126"/>
        <v>0</v>
      </c>
      <c r="AM98" s="116">
        <f t="shared" si="126"/>
        <v>0</v>
      </c>
      <c r="AN98" s="116">
        <f t="shared" si="126"/>
        <v>0</v>
      </c>
      <c r="AO98" s="67"/>
      <c r="AR98" s="167"/>
      <c r="AS98" s="167"/>
      <c r="AT98" s="167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</row>
    <row r="99" spans="1:63" s="55" customFormat="1" ht="16.8">
      <c r="A99" s="105"/>
      <c r="B99" s="106"/>
      <c r="C99" s="112"/>
      <c r="D99" s="110"/>
      <c r="E99" s="112"/>
      <c r="F99" s="74"/>
      <c r="G99" s="100" t="s">
        <v>507</v>
      </c>
      <c r="H99" s="100"/>
      <c r="I99" s="100"/>
      <c r="J99" s="147"/>
      <c r="K99" s="150">
        <f>IF(K$59=0,0,K98/K$59)</f>
        <v>0.4385555814314373</v>
      </c>
      <c r="L99" s="150">
        <f>IF(L$59=0,0,L98/L$59)</f>
        <v>0.4467596031735801</v>
      </c>
      <c r="M99" s="150">
        <f>IF(M$59=0,0,M98/M$59)</f>
        <v>0.45026289081257054</v>
      </c>
      <c r="N99" s="150">
        <f>IF(N$59=0,0,N98/N$59)</f>
        <v>0.45051110021695179</v>
      </c>
      <c r="O99" s="150">
        <f>IF(O$59=0,0,O98/O$59)</f>
        <v>0.45878827329565264</v>
      </c>
      <c r="P99" s="150">
        <f>IF(P$59=0,0,P98/P$59)</f>
        <v>0.5474005944398026</v>
      </c>
      <c r="Q99" s="150">
        <f>IF(Q$59=0,0,Q98/Q$59)</f>
        <v>0.57753360412422827</v>
      </c>
      <c r="R99" s="150">
        <f>IF(R$59=0,0,R98/R$59)</f>
        <v>0.55572123292348419</v>
      </c>
      <c r="S99" s="150">
        <f>IF(S$59=0,0,S98/S$59)</f>
        <v>0.54817995517112506</v>
      </c>
      <c r="T99" s="150">
        <f>IF(T$59=0,0,T98/T$59)</f>
        <v>0.55309485820025828</v>
      </c>
      <c r="U99" s="150">
        <f>IF(U$59=0,0,U98/U$59)</f>
        <v>0.52054324438512944</v>
      </c>
      <c r="V99" s="150">
        <f>IF(V$59=0,0,V98/V$59)</f>
        <v>0.51125268980780869</v>
      </c>
      <c r="W99" s="150">
        <f>IF(W$59=0,0,W98/W$59)</f>
        <v>0.49806119359908946</v>
      </c>
      <c r="X99" s="147"/>
      <c r="Y99" s="150">
        <f>IF(Y$59=0,0,Y98/Y$59)</f>
        <v>0.5336898344650336</v>
      </c>
      <c r="Z99" s="101"/>
      <c r="AA99" s="102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67"/>
      <c r="AP99" s="111"/>
      <c r="AQ99" s="111"/>
      <c r="AR99" s="167"/>
      <c r="AS99" s="167"/>
      <c r="AT99" s="167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</row>
    <row r="100" spans="1:63" ht="16.8">
      <c r="A100" s="105"/>
      <c r="B100" s="106"/>
      <c r="C100" s="112"/>
      <c r="D100" s="110"/>
      <c r="E100" s="112"/>
      <c r="F100" s="58"/>
      <c r="G100" s="95"/>
      <c r="H100" s="67"/>
      <c r="I100" s="71"/>
      <c r="J100" s="67"/>
      <c r="K100" s="96"/>
      <c r="L100" s="96"/>
      <c r="M100" s="96"/>
      <c r="N100" s="96"/>
      <c r="O100" s="96"/>
      <c r="P100" s="96"/>
      <c r="Q100" s="67"/>
      <c r="R100" s="67"/>
      <c r="S100" s="67"/>
      <c r="T100" s="67"/>
      <c r="U100" s="67"/>
      <c r="V100" s="67"/>
      <c r="W100" s="67"/>
      <c r="X100" s="53"/>
      <c r="AR100" s="167"/>
      <c r="AS100" s="167"/>
      <c r="AT100" s="167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</row>
    <row r="101" spans="1:63" ht="17.399999999999999" thickBot="1">
      <c r="A101" s="105" t="str">
        <f>C101</f>
        <v>R_OtherRev</v>
      </c>
      <c r="B101" s="106"/>
      <c r="C101" s="112" t="s">
        <v>337</v>
      </c>
      <c r="D101" s="110"/>
      <c r="E101" s="112"/>
      <c r="F101" s="58"/>
      <c r="G101" s="95" t="s">
        <v>229</v>
      </c>
      <c r="H101" s="67"/>
      <c r="I101" s="71"/>
      <c r="J101" s="67"/>
      <c r="K101" s="96">
        <v>6250969.7000000002</v>
      </c>
      <c r="L101" s="96">
        <v>6272336.8799999999</v>
      </c>
      <c r="M101" s="96">
        <v>7159330.4299999997</v>
      </c>
      <c r="N101" s="96">
        <v>6700655.1999999993</v>
      </c>
      <c r="O101" s="96">
        <v>6805026.1299999999</v>
      </c>
      <c r="P101" s="96">
        <v>6728956.1096078418</v>
      </c>
      <c r="Q101" s="96">
        <v>6784020.2496078415</v>
      </c>
      <c r="R101" s="96">
        <v>6264281.3215686269</v>
      </c>
      <c r="S101" s="96">
        <v>6723781.5212418288</v>
      </c>
      <c r="T101" s="96">
        <v>6506885.343137254</v>
      </c>
      <c r="U101" s="96">
        <v>6723781.5212418288</v>
      </c>
      <c r="V101" s="96">
        <v>6506885.343137254</v>
      </c>
      <c r="W101" s="96">
        <f>SUM(K101:V101)</f>
        <v>79426909.74954246</v>
      </c>
      <c r="X101" s="96"/>
      <c r="Y101" s="96">
        <v>79883055.713898554</v>
      </c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R101" s="167"/>
      <c r="AS101" s="167"/>
      <c r="AT101" s="167"/>
      <c r="AU101" s="111"/>
      <c r="AV101" s="111"/>
      <c r="AW101" s="111">
        <v>1</v>
      </c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</row>
    <row r="102" spans="1:63" ht="18" thickTop="1" thickBot="1">
      <c r="A102" s="105"/>
      <c r="B102" s="106"/>
      <c r="C102" s="112" t="str">
        <f>"ACCT.FSDetail='"&amp;C101&amp;"'"</f>
        <v>ACCT.FSDetail='R_OtherRev'</v>
      </c>
      <c r="D102" s="110" t="s">
        <v>411</v>
      </c>
      <c r="E102" s="112"/>
      <c r="F102" s="58"/>
      <c r="G102" s="95" t="s">
        <v>328</v>
      </c>
      <c r="H102" s="58"/>
      <c r="I102" s="71"/>
      <c r="J102" s="117"/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6">
        <v>0</v>
      </c>
      <c r="Q102" s="86">
        <v>0</v>
      </c>
      <c r="R102" s="86">
        <v>0</v>
      </c>
      <c r="S102" s="90">
        <f t="shared" ref="S102:V103" si="127">AK102</f>
        <v>0</v>
      </c>
      <c r="T102" s="90">
        <f t="shared" si="127"/>
        <v>0</v>
      </c>
      <c r="U102" s="90">
        <f t="shared" si="127"/>
        <v>0</v>
      </c>
      <c r="V102" s="90">
        <f t="shared" si="127"/>
        <v>0</v>
      </c>
      <c r="W102" s="97">
        <f>IF(W104=0,0,1-(SUM(W103,W101)/W104))</f>
        <v>0</v>
      </c>
      <c r="X102" s="97"/>
      <c r="Y102" s="97"/>
      <c r="Z102" s="97"/>
      <c r="AA102" s="97"/>
      <c r="AB102" s="97"/>
      <c r="AC102" s="97" cm="1">
        <f t="array" ref="AC102">IF(AC$7="",0,_xll.GetData(AC$7,$AQ102))</f>
        <v>0</v>
      </c>
      <c r="AD102" s="97" cm="1">
        <f t="array" ref="AD102">IF(AD$7="",0,_xll.GetData(AD$7,$AQ102))</f>
        <v>0</v>
      </c>
      <c r="AE102" s="97" cm="1">
        <f t="array" ref="AE102">IF(AE$7="",0,_xll.GetData(AE$7,$AQ102))</f>
        <v>0</v>
      </c>
      <c r="AF102" s="97" cm="1">
        <f t="array" ref="AF102">IF(AF$7="",0,_xll.GetData(AF$7,$AQ102))</f>
        <v>0</v>
      </c>
      <c r="AG102" s="97" cm="1">
        <f t="array" ref="AG102">IF(AG$7="",0,_xll.GetData(AG$7,$AQ102))</f>
        <v>0</v>
      </c>
      <c r="AH102" s="97" cm="1">
        <f t="array" ref="AH102">IF(AH$7="",0,_xll.GetData(AH$7,$AQ102))</f>
        <v>0</v>
      </c>
      <c r="AI102" s="97" cm="1">
        <f t="array" ref="AI102">IF(AI$7="",0,_xll.GetData(AI$7,$AQ102))</f>
        <v>0</v>
      </c>
      <c r="AJ102" s="97" cm="1">
        <f t="array" ref="AJ102">IF(AJ$7="",0,_xll.GetData(AJ$7,$AQ102))</f>
        <v>0</v>
      </c>
      <c r="AK102" s="97" cm="1">
        <f t="array" ref="AK102">IF(AK$7="",0,_xll.GetData(AK$7,$AQ102))</f>
        <v>0</v>
      </c>
      <c r="AL102" s="97" cm="1">
        <f t="array" ref="AL102">IF(AL$7="",0,_xll.GetData(AL$7,$AQ102))</f>
        <v>0</v>
      </c>
      <c r="AM102" s="97" cm="1">
        <f t="array" ref="AM102">IF(AM$7="",0,_xll.GetData(AM$7,$AQ102))</f>
        <v>0</v>
      </c>
      <c r="AN102" s="97" cm="1">
        <f t="array" ref="AN102">IF(AN$7="",0,_xll.GetData(AN$7,$AQ102))</f>
        <v>0</v>
      </c>
      <c r="AO102" s="46"/>
      <c r="AP102" s="111">
        <f>AP104</f>
        <v>32</v>
      </c>
      <c r="AQ102" s="111" t="str">
        <f>"Dept="&amp;AU102&amp;" And Acct="&amp;AV102</f>
        <v>Dept=0 And Acct=53880</v>
      </c>
      <c r="AR102" s="167" t="str">
        <f>IF(OR(AU102=0,AV102=0),"NoSave","[Save]")</f>
        <v>NoSave</v>
      </c>
      <c r="AS102" s="167"/>
      <c r="AT102" s="167"/>
      <c r="AU102" s="111">
        <f>AU104</f>
        <v>0</v>
      </c>
      <c r="AV102" s="111">
        <f>AV104</f>
        <v>53880</v>
      </c>
      <c r="AW102" s="111">
        <v>1</v>
      </c>
      <c r="AX102" s="280">
        <f>IF(K$20="CYA",0,K102)</f>
        <v>0</v>
      </c>
      <c r="AY102" s="280">
        <f t="shared" ref="AY102:AY103" si="128">IF(L$20="CYA",0,L102)</f>
        <v>0</v>
      </c>
      <c r="AZ102" s="280">
        <f t="shared" ref="AZ102:AZ103" si="129">IF(M$20="CYA",0,M102)</f>
        <v>0</v>
      </c>
      <c r="BA102" s="280">
        <f t="shared" ref="BA102:BA103" si="130">IF(N$20="CYA",0,N102)</f>
        <v>0</v>
      </c>
      <c r="BB102" s="280">
        <f t="shared" ref="BB102:BB103" si="131">IF(O$20="CYA",0,O102)</f>
        <v>0</v>
      </c>
      <c r="BC102" s="280">
        <f t="shared" ref="BC102:BC103" si="132">IF(P$20="CYA",0,P102)</f>
        <v>0</v>
      </c>
      <c r="BD102" s="280">
        <f t="shared" ref="BD102:BD103" si="133">IF(Q$20="CYA",0,Q102)</f>
        <v>0</v>
      </c>
      <c r="BE102" s="280">
        <f t="shared" ref="BE102:BE103" si="134">IF(R$20="CYA",0,R102)</f>
        <v>0</v>
      </c>
      <c r="BF102" s="280">
        <f t="shared" ref="BF102:BF103" si="135">IF(S$20="CYA",0,S102)</f>
        <v>0</v>
      </c>
      <c r="BG102" s="280">
        <f t="shared" ref="BG102:BG103" si="136">IF(T$20="CYA",0,T102)</f>
        <v>0</v>
      </c>
      <c r="BH102" s="280">
        <f t="shared" ref="BH102:BH103" si="137">IF(U$20="CYA",0,U102)</f>
        <v>0</v>
      </c>
      <c r="BI102" s="280">
        <f t="shared" ref="BI102:BI103" si="138">IF(V$20="CYA",0,V102)</f>
        <v>0</v>
      </c>
      <c r="BJ102" s="90">
        <f>CB102</f>
        <v>0</v>
      </c>
      <c r="BK102" s="86">
        <v>0</v>
      </c>
    </row>
    <row r="103" spans="1:63" ht="18" thickTop="1" thickBot="1">
      <c r="A103" s="113"/>
      <c r="B103" s="106"/>
      <c r="C103" s="112" t="str">
        <f>C102</f>
        <v>ACCT.FSDetail='R_OtherRev'</v>
      </c>
      <c r="D103" s="110" t="s">
        <v>411</v>
      </c>
      <c r="E103" s="112"/>
      <c r="F103" s="58"/>
      <c r="G103" s="95" t="s">
        <v>329</v>
      </c>
      <c r="H103" s="58"/>
      <c r="I103" s="71"/>
      <c r="J103" s="67"/>
      <c r="K103" s="96">
        <v>0</v>
      </c>
      <c r="L103" s="96">
        <v>0</v>
      </c>
      <c r="M103" s="96">
        <v>0</v>
      </c>
      <c r="N103" s="96">
        <v>0</v>
      </c>
      <c r="O103" s="96">
        <v>0</v>
      </c>
      <c r="P103" s="96">
        <v>0</v>
      </c>
      <c r="Q103" s="96">
        <v>0</v>
      </c>
      <c r="R103" s="96">
        <v>0</v>
      </c>
      <c r="S103" s="89">
        <f t="shared" si="127"/>
        <v>0</v>
      </c>
      <c r="T103" s="89">
        <f t="shared" si="127"/>
        <v>0</v>
      </c>
      <c r="U103" s="89">
        <f t="shared" si="127"/>
        <v>0</v>
      </c>
      <c r="V103" s="89">
        <f t="shared" si="127"/>
        <v>0</v>
      </c>
      <c r="W103" s="96">
        <f>SUM(K103:V103)</f>
        <v>0</v>
      </c>
      <c r="X103" s="96"/>
      <c r="Y103" s="96"/>
      <c r="Z103" s="96"/>
      <c r="AA103" s="96"/>
      <c r="AB103" s="96"/>
      <c r="AC103" s="96" cm="1">
        <f t="array" ref="AC103">IF(AC$8="",0,_xll.GetData(AC$8,$AQ103))</f>
        <v>0</v>
      </c>
      <c r="AD103" s="96" cm="1">
        <f t="array" ref="AD103">IF(AD$8="",0,_xll.GetData(AD$8,$AQ103))</f>
        <v>0</v>
      </c>
      <c r="AE103" s="96" cm="1">
        <f t="array" ref="AE103">IF(AE$8="",0,_xll.GetData(AE$8,$AQ103))</f>
        <v>0</v>
      </c>
      <c r="AF103" s="96" cm="1">
        <f t="array" ref="AF103">IF(AF$8="",0,_xll.GetData(AF$8,$AQ103))</f>
        <v>0</v>
      </c>
      <c r="AG103" s="96" cm="1">
        <f t="array" ref="AG103">IF(AG$8="",0,_xll.GetData(AG$8,$AQ103))</f>
        <v>0</v>
      </c>
      <c r="AH103" s="96" cm="1">
        <f t="array" ref="AH103">IF(AH$8="",0,_xll.GetData(AH$8,$AQ103))</f>
        <v>0</v>
      </c>
      <c r="AI103" s="96" cm="1">
        <f t="array" ref="AI103">IF(AI$8="",0,_xll.GetData(AI$8,$AQ103))</f>
        <v>0</v>
      </c>
      <c r="AJ103" s="96" cm="1">
        <f t="array" ref="AJ103">IF(AJ$8="",0,_xll.GetData(AJ$8,$AQ103))</f>
        <v>0</v>
      </c>
      <c r="AK103" s="96" cm="1">
        <f t="array" ref="AK103">IF(AK$8="",0,_xll.GetData(AK$8,$AQ103))</f>
        <v>0</v>
      </c>
      <c r="AL103" s="96" cm="1">
        <f t="array" ref="AL103">IF(AL$8="",0,_xll.GetData(AL$8,$AQ103))</f>
        <v>0</v>
      </c>
      <c r="AM103" s="96" cm="1">
        <f t="array" ref="AM103">IF(AM$8="",0,_xll.GetData(AM$8,$AQ103))</f>
        <v>0</v>
      </c>
      <c r="AN103" s="96" cm="1">
        <f t="array" ref="AN103">IF(AN$8="",0,_xll.GetData(AN$8,$AQ103))</f>
        <v>0</v>
      </c>
      <c r="AO103" s="69"/>
      <c r="AP103" s="111">
        <f>AP104</f>
        <v>32</v>
      </c>
      <c r="AQ103" s="111" t="str">
        <f>"Dept="&amp;AU103&amp;" And Acct="&amp;AV103</f>
        <v>Dept=0 And Acct=53880</v>
      </c>
      <c r="AR103" s="167"/>
      <c r="AS103" s="167" t="str">
        <f>IF(OR(AU103=0,AV103=0),"NoSave","[Save]")</f>
        <v>NoSave</v>
      </c>
      <c r="AT103" s="167"/>
      <c r="AU103" s="111">
        <f>AU104</f>
        <v>0</v>
      </c>
      <c r="AV103" s="111">
        <f>AV104</f>
        <v>53880</v>
      </c>
      <c r="AW103" s="111">
        <v>1</v>
      </c>
      <c r="AX103" s="281">
        <f>IF(K$20="CYA",0,K103)</f>
        <v>0</v>
      </c>
      <c r="AY103" s="281">
        <f t="shared" si="128"/>
        <v>0</v>
      </c>
      <c r="AZ103" s="281">
        <f t="shared" si="129"/>
        <v>0</v>
      </c>
      <c r="BA103" s="281">
        <f t="shared" si="130"/>
        <v>0</v>
      </c>
      <c r="BB103" s="281">
        <f t="shared" si="131"/>
        <v>0</v>
      </c>
      <c r="BC103" s="281">
        <f t="shared" si="132"/>
        <v>0</v>
      </c>
      <c r="BD103" s="281">
        <f t="shared" si="133"/>
        <v>0</v>
      </c>
      <c r="BE103" s="281">
        <f t="shared" si="134"/>
        <v>0</v>
      </c>
      <c r="BF103" s="281">
        <f t="shared" si="135"/>
        <v>0</v>
      </c>
      <c r="BG103" s="281">
        <f t="shared" si="136"/>
        <v>0</v>
      </c>
      <c r="BH103" s="281">
        <f t="shared" si="137"/>
        <v>0</v>
      </c>
      <c r="BI103" s="281">
        <f t="shared" si="138"/>
        <v>0</v>
      </c>
      <c r="BJ103" s="89">
        <f>CB103</f>
        <v>0</v>
      </c>
      <c r="BK103" s="96">
        <v>0</v>
      </c>
    </row>
    <row r="104" spans="1:63" ht="17.399999999999999" thickTop="1">
      <c r="A104" s="105"/>
      <c r="B104" s="114" t="str">
        <f>C101</f>
        <v>R_OtherRev</v>
      </c>
      <c r="C104" s="112"/>
      <c r="D104" s="110"/>
      <c r="E104" s="112"/>
      <c r="F104" s="74"/>
      <c r="G104" s="100" t="str">
        <f>"   Total "&amp;G101</f>
        <v xml:space="preserve">   Total Other Operating Revenue</v>
      </c>
      <c r="H104" s="100"/>
      <c r="I104" s="100"/>
      <c r="J104" s="116"/>
      <c r="K104" s="116">
        <f>IF(K$20="CYA",K101,K101*(1+K102)+K103)</f>
        <v>6250969.7000000002</v>
      </c>
      <c r="L104" s="116">
        <f>IF(L$20="CYA",L101,L101*(1+L102)+L103)</f>
        <v>6272336.8799999999</v>
      </c>
      <c r="M104" s="116">
        <f>IF(M$20="CYA",M101,M101*(1+M102)+M103)</f>
        <v>7159330.4299999997</v>
      </c>
      <c r="N104" s="116">
        <f>IF(N$20="CYA",N101,N101*(1+N102)+N103)</f>
        <v>6700655.1999999993</v>
      </c>
      <c r="O104" s="116">
        <f>IF(O$20="CYA",O101,O101*(1+O102)+O103)</f>
        <v>6805026.1299999999</v>
      </c>
      <c r="P104" s="116">
        <f>IF(P$20="CYA",P101,P101*(1+P102)+P103)</f>
        <v>6728956.1096078418</v>
      </c>
      <c r="Q104" s="116">
        <f>IF(Q$20="CYA",Q101,Q101*(1+Q102)+Q103)</f>
        <v>6784020.2496078415</v>
      </c>
      <c r="R104" s="116">
        <f>IF(R$20="CYA",R101,R101*(1+R102)+R103)</f>
        <v>6264281.3215686269</v>
      </c>
      <c r="S104" s="116">
        <f>IF(S$20="CYA",S101,S101*(1+S102)+S103)</f>
        <v>6723781.5212418288</v>
      </c>
      <c r="T104" s="116">
        <f>IF(T$20="CYA",T101,T101*(1+T102)+T103)</f>
        <v>6506885.343137254</v>
      </c>
      <c r="U104" s="116">
        <f>IF(U$20="CYA",U101,U101*(1+U102)+U103)</f>
        <v>6723781.5212418288</v>
      </c>
      <c r="V104" s="116">
        <f>IF(V$20="CYA",V101,V101*(1+V102)+V103)</f>
        <v>6506885.343137254</v>
      </c>
      <c r="W104" s="116">
        <f>SUM(K104:V104)</f>
        <v>79426909.74954246</v>
      </c>
      <c r="X104" s="116"/>
      <c r="Y104" s="116">
        <f>SUM(Y101:Y103)</f>
        <v>79883055.713898554</v>
      </c>
      <c r="Z104" s="116">
        <f>W104-Y104</f>
        <v>-456145.9643560946</v>
      </c>
      <c r="AA104" s="102">
        <f>IF(Y104=0,0,Z104/Y104)</f>
        <v>-5.710171703869003E-3</v>
      </c>
      <c r="AB104" s="116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67"/>
      <c r="AP104" s="111">
        <f>ROW(Control!D32)</f>
        <v>32</v>
      </c>
      <c r="AQ104" s="111"/>
      <c r="AR104" s="167"/>
      <c r="AS104" s="167"/>
      <c r="AT104" s="167" t="str">
        <f>IF(OR(AU104=0,AV104=0),"NoSave","[Save]")</f>
        <v>NoSave</v>
      </c>
      <c r="AU104" s="111" cm="1">
        <f t="array" ref="AU104">INDEX(Control!G$1:G$9997,$AP104)</f>
        <v>0</v>
      </c>
      <c r="AV104" s="111" cm="1">
        <f t="array" ref="AV104">INDEX(Control!I$1:I$9997,$AP104)</f>
        <v>53880</v>
      </c>
      <c r="AW104" s="111">
        <v>1</v>
      </c>
      <c r="AX104" s="281">
        <f>IF(K$20="CYA",0,K104-K101)</f>
        <v>0</v>
      </c>
      <c r="AY104" s="281">
        <f t="shared" ref="AY104" si="139">IF(L$20="CYA",0,L104-L101)</f>
        <v>0</v>
      </c>
      <c r="AZ104" s="281">
        <f t="shared" ref="AZ104" si="140">IF(M$20="CYA",0,M104-M101)</f>
        <v>0</v>
      </c>
      <c r="BA104" s="281">
        <f t="shared" ref="BA104" si="141">IF(N$20="CYA",0,N104-N101)</f>
        <v>0</v>
      </c>
      <c r="BB104" s="281">
        <f t="shared" ref="BB104" si="142">IF(O$20="CYA",0,O104-O101)</f>
        <v>0</v>
      </c>
      <c r="BC104" s="281">
        <f t="shared" ref="BC104" si="143">IF(P$20="CYA",0,P104-P101)</f>
        <v>0</v>
      </c>
      <c r="BD104" s="281">
        <f t="shared" ref="BD104" si="144">IF(Q$20="CYA",0,Q104-Q101)</f>
        <v>0</v>
      </c>
      <c r="BE104" s="281">
        <f t="shared" ref="BE104" si="145">IF(R$20="CYA",0,R104-R101)</f>
        <v>0</v>
      </c>
      <c r="BF104" s="281">
        <f t="shared" ref="BF104" si="146">IF(S$20="CYA",0,S104-S101)</f>
        <v>0</v>
      </c>
      <c r="BG104" s="281">
        <f t="shared" ref="BG104" si="147">IF(T$20="CYA",0,T104-T101)</f>
        <v>0</v>
      </c>
      <c r="BH104" s="281">
        <f t="shared" ref="BH104" si="148">IF(U$20="CYA",0,U104-U101)</f>
        <v>0</v>
      </c>
      <c r="BI104" s="281">
        <f t="shared" ref="BI104" si="149">IF(V$20="CYA",0,V104-V101)</f>
        <v>0</v>
      </c>
    </row>
    <row r="105" spans="1:63" ht="16.8">
      <c r="A105" s="105"/>
      <c r="B105" s="106"/>
      <c r="C105" s="112"/>
      <c r="D105" s="110"/>
      <c r="E105" s="112"/>
      <c r="F105" s="74"/>
      <c r="G105" s="75"/>
      <c r="H105" s="67"/>
      <c r="I105" s="71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83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111"/>
      <c r="AQ105" s="111"/>
      <c r="AR105" s="167"/>
      <c r="AS105" s="167"/>
      <c r="AT105" s="167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</row>
    <row r="106" spans="1:63" ht="16.8">
      <c r="A106" s="105"/>
      <c r="B106" s="106"/>
      <c r="C106" s="112"/>
      <c r="D106" s="110"/>
      <c r="E106" s="112"/>
      <c r="F106" s="58"/>
      <c r="G106" s="100" t="s">
        <v>230</v>
      </c>
      <c r="H106" s="100"/>
      <c r="I106" s="100"/>
      <c r="J106" s="116"/>
      <c r="K106" s="116">
        <f>K98+K104</f>
        <v>32115512.380410817</v>
      </c>
      <c r="L106" s="116">
        <f>L98+L104</f>
        <v>33273598.123575773</v>
      </c>
      <c r="M106" s="116">
        <f>M98+M104</f>
        <v>34780269.253041282</v>
      </c>
      <c r="N106" s="116">
        <f>N98+N104</f>
        <v>33863672.490181953</v>
      </c>
      <c r="O106" s="116">
        <f>O98+O104</f>
        <v>34992044.387943007</v>
      </c>
      <c r="P106" s="116">
        <f>P98+P104</f>
        <v>29817621.568933517</v>
      </c>
      <c r="Q106" s="116">
        <f>Q98+Q104</f>
        <v>32120636.458739869</v>
      </c>
      <c r="R106" s="116">
        <f>R98+R104</f>
        <v>31150492.981593687</v>
      </c>
      <c r="S106" s="116">
        <f>S98+S104</f>
        <v>31724858.839220736</v>
      </c>
      <c r="T106" s="116">
        <f>T98+T104</f>
        <v>32571420.71999988</v>
      </c>
      <c r="U106" s="116">
        <f>U98+U104</f>
        <v>32550508.374031488</v>
      </c>
      <c r="V106" s="116">
        <f>V98+V104</f>
        <v>32768214.113876604</v>
      </c>
      <c r="W106" s="116">
        <f>W98+W104</f>
        <v>391728849.69154859</v>
      </c>
      <c r="X106" s="116"/>
      <c r="Y106" s="116">
        <f>Y98+Y104</f>
        <v>409349200.3318935</v>
      </c>
      <c r="Z106" s="116">
        <f>W106-Y106</f>
        <v>-17620350.640344918</v>
      </c>
      <c r="AA106" s="102">
        <f>IF(Y106=0,0,Z106/Y106)</f>
        <v>-4.3044790672752339E-2</v>
      </c>
      <c r="AB106" s="116"/>
      <c r="AC106" s="116">
        <f t="shared" ref="AC106:AN106" si="150">AC98+AC104</f>
        <v>0</v>
      </c>
      <c r="AD106" s="116">
        <f t="shared" si="150"/>
        <v>0</v>
      </c>
      <c r="AE106" s="116">
        <f t="shared" si="150"/>
        <v>0</v>
      </c>
      <c r="AF106" s="116">
        <f t="shared" si="150"/>
        <v>0</v>
      </c>
      <c r="AG106" s="116">
        <f t="shared" si="150"/>
        <v>0</v>
      </c>
      <c r="AH106" s="116">
        <f t="shared" si="150"/>
        <v>0</v>
      </c>
      <c r="AI106" s="116">
        <f t="shared" si="150"/>
        <v>0</v>
      </c>
      <c r="AJ106" s="116">
        <f t="shared" si="150"/>
        <v>0</v>
      </c>
      <c r="AK106" s="116">
        <f t="shared" si="150"/>
        <v>0</v>
      </c>
      <c r="AL106" s="116">
        <f t="shared" si="150"/>
        <v>0</v>
      </c>
      <c r="AM106" s="116">
        <f t="shared" si="150"/>
        <v>0</v>
      </c>
      <c r="AN106" s="116">
        <f t="shared" si="150"/>
        <v>0</v>
      </c>
      <c r="AO106" s="67"/>
      <c r="AR106" s="167"/>
      <c r="AS106" s="167"/>
      <c r="AT106" s="167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</row>
    <row r="107" spans="1:63" ht="16.8">
      <c r="A107" s="105"/>
      <c r="B107" s="106"/>
      <c r="C107" s="112"/>
      <c r="D107" s="110"/>
      <c r="E107" s="112"/>
      <c r="F107" s="58"/>
      <c r="G107" s="68"/>
      <c r="H107" s="67"/>
      <c r="I107" s="71"/>
      <c r="J107" s="67"/>
      <c r="K107" s="96"/>
      <c r="L107" s="96"/>
      <c r="M107" s="96"/>
      <c r="N107" s="96"/>
      <c r="O107" s="96"/>
      <c r="P107" s="96"/>
      <c r="Q107" s="67"/>
      <c r="R107" s="67"/>
      <c r="S107" s="67"/>
      <c r="T107" s="67"/>
      <c r="U107" s="67"/>
      <c r="V107" s="67"/>
      <c r="W107" s="67"/>
      <c r="AR107" s="167"/>
      <c r="AS107" s="167"/>
      <c r="AT107" s="167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</row>
    <row r="108" spans="1:63" s="55" customFormat="1" ht="16.8">
      <c r="A108" s="105" t="s">
        <v>494</v>
      </c>
      <c r="B108" s="106"/>
      <c r="C108" s="112" t="s">
        <v>494</v>
      </c>
      <c r="D108" s="110"/>
      <c r="E108" s="112"/>
      <c r="F108" s="58"/>
      <c r="G108" s="95" t="s">
        <v>499</v>
      </c>
      <c r="H108" s="67"/>
      <c r="I108" s="67"/>
      <c r="J108" s="67"/>
      <c r="K108" s="96">
        <v>0</v>
      </c>
      <c r="L108" s="96">
        <v>0</v>
      </c>
      <c r="M108" s="96">
        <v>0</v>
      </c>
      <c r="N108" s="96">
        <v>0</v>
      </c>
      <c r="O108" s="96">
        <v>0</v>
      </c>
      <c r="P108" s="96">
        <v>0</v>
      </c>
      <c r="Q108" s="96">
        <v>0</v>
      </c>
      <c r="R108" s="96">
        <v>0</v>
      </c>
      <c r="S108" s="96">
        <v>0</v>
      </c>
      <c r="T108" s="96">
        <v>0</v>
      </c>
      <c r="U108" s="96">
        <v>0</v>
      </c>
      <c r="V108" s="96">
        <v>0</v>
      </c>
      <c r="W108" s="96">
        <f>SUM(K108:V108)</f>
        <v>0</v>
      </c>
      <c r="X108" s="96"/>
      <c r="Y108" s="96">
        <v>6671419.8311095871</v>
      </c>
      <c r="Z108" s="96">
        <f t="shared" ref="Z108:Z113" si="151">Y108-W108</f>
        <v>6671419.8311095871</v>
      </c>
      <c r="AA108" s="148">
        <f t="shared" ref="AA108:AA113" si="152">IF(Y108=0,0,Z108/Y108)</f>
        <v>1</v>
      </c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R108" s="167"/>
      <c r="AS108" s="167"/>
      <c r="AT108" s="167"/>
      <c r="AU108" s="111"/>
      <c r="AV108" s="111"/>
      <c r="AW108" s="111">
        <v>1</v>
      </c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</row>
    <row r="109" spans="1:63" s="55" customFormat="1" ht="16.8">
      <c r="A109" s="105" t="s">
        <v>495</v>
      </c>
      <c r="B109" s="106"/>
      <c r="C109" s="112" t="s">
        <v>495</v>
      </c>
      <c r="D109" s="110"/>
      <c r="E109" s="112"/>
      <c r="F109" s="58"/>
      <c r="G109" s="95" t="s">
        <v>500</v>
      </c>
      <c r="H109" s="67"/>
      <c r="I109" s="67"/>
      <c r="J109" s="67"/>
      <c r="K109" s="96">
        <v>419739.99002028577</v>
      </c>
      <c r="L109" s="96">
        <v>414024.61431750003</v>
      </c>
      <c r="M109" s="96">
        <v>412415.61346430006</v>
      </c>
      <c r="N109" s="96">
        <v>408617.31511100003</v>
      </c>
      <c r="O109" s="96">
        <v>374082.643843</v>
      </c>
      <c r="P109" s="96">
        <v>247377.03647105908</v>
      </c>
      <c r="Q109" s="96">
        <v>258461.54900484357</v>
      </c>
      <c r="R109" s="96">
        <v>262089.14070726582</v>
      </c>
      <c r="S109" s="96">
        <v>272731.27999223873</v>
      </c>
      <c r="T109" s="96">
        <v>283050.65154182218</v>
      </c>
      <c r="U109" s="96">
        <v>297482.79489130573</v>
      </c>
      <c r="V109" s="96">
        <v>308449.18468754849</v>
      </c>
      <c r="W109" s="96">
        <f>SUM(K109:V109)</f>
        <v>3958521.8140521692</v>
      </c>
      <c r="X109" s="96"/>
      <c r="Y109" s="96">
        <v>3787613.3485984048</v>
      </c>
      <c r="Z109" s="96">
        <f t="shared" si="151"/>
        <v>-170908.46545376442</v>
      </c>
      <c r="AA109" s="148">
        <f t="shared" si="152"/>
        <v>-4.5122996917573065E-2</v>
      </c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R109" s="167"/>
      <c r="AS109" s="167"/>
      <c r="AT109" s="167"/>
      <c r="AU109" s="111"/>
      <c r="AV109" s="111"/>
      <c r="AW109" s="111">
        <v>1</v>
      </c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</row>
    <row r="110" spans="1:63" s="55" customFormat="1" ht="16.8">
      <c r="A110" s="105" t="s">
        <v>496</v>
      </c>
      <c r="B110" s="106"/>
      <c r="C110" s="112" t="s">
        <v>496</v>
      </c>
      <c r="D110" s="110"/>
      <c r="E110" s="112"/>
      <c r="F110" s="58"/>
      <c r="G110" s="95" t="s">
        <v>501</v>
      </c>
      <c r="H110" s="67"/>
      <c r="I110" s="67"/>
      <c r="J110" s="67"/>
      <c r="K110" s="96">
        <v>21561.522787085712</v>
      </c>
      <c r="L110" s="96">
        <v>16212.799475600001</v>
      </c>
      <c r="M110" s="96">
        <v>17857.344500800002</v>
      </c>
      <c r="N110" s="96">
        <v>16226.0913557</v>
      </c>
      <c r="O110" s="96">
        <v>13763.5457694</v>
      </c>
      <c r="P110" s="96">
        <v>14324.18563199333</v>
      </c>
      <c r="Q110" s="96">
        <v>14255.893865893331</v>
      </c>
      <c r="R110" s="96">
        <v>13321.563324284218</v>
      </c>
      <c r="S110" s="96">
        <v>14215.086861928965</v>
      </c>
      <c r="T110" s="96">
        <v>13756.535672834481</v>
      </c>
      <c r="U110" s="96">
        <v>14215.086861928965</v>
      </c>
      <c r="V110" s="96">
        <v>13756.535672834481</v>
      </c>
      <c r="W110" s="96">
        <f>SUM(K110:V110)</f>
        <v>183466.19178028349</v>
      </c>
      <c r="X110" s="96"/>
      <c r="Y110" s="96">
        <v>189335.33745118379</v>
      </c>
      <c r="Z110" s="96">
        <f t="shared" si="151"/>
        <v>5869.145670900296</v>
      </c>
      <c r="AA110" s="148">
        <f t="shared" si="152"/>
        <v>3.0998680700128331E-2</v>
      </c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R110" s="167"/>
      <c r="AS110" s="167"/>
      <c r="AT110" s="167"/>
      <c r="AU110" s="111"/>
      <c r="AV110" s="111"/>
      <c r="AW110" s="111">
        <v>1</v>
      </c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</row>
    <row r="111" spans="1:63" s="55" customFormat="1" ht="16.8">
      <c r="A111" s="105" t="s">
        <v>497</v>
      </c>
      <c r="B111" s="106"/>
      <c r="C111" s="112" t="s">
        <v>497</v>
      </c>
      <c r="D111" s="110"/>
      <c r="E111" s="112"/>
      <c r="F111" s="58"/>
      <c r="G111" s="95" t="s">
        <v>502</v>
      </c>
      <c r="H111" s="67"/>
      <c r="I111" s="67"/>
      <c r="J111" s="67"/>
      <c r="K111" s="96">
        <v>47569.958023514286</v>
      </c>
      <c r="L111" s="96">
        <v>36897.380815800003</v>
      </c>
      <c r="M111" s="96">
        <v>46042.422245400005</v>
      </c>
      <c r="N111" s="96">
        <v>58998.803312299999</v>
      </c>
      <c r="O111" s="96">
        <v>62831.058189000003</v>
      </c>
      <c r="P111" s="96">
        <v>56533.749915996719</v>
      </c>
      <c r="Q111" s="96">
        <v>57129.330875696709</v>
      </c>
      <c r="R111" s="96">
        <v>52884.658180109618</v>
      </c>
      <c r="S111" s="96">
        <v>56500.168644061552</v>
      </c>
      <c r="T111" s="96">
        <v>54677.582558769253</v>
      </c>
      <c r="U111" s="96">
        <v>56500.168644061552</v>
      </c>
      <c r="V111" s="96">
        <v>54677.582558769253</v>
      </c>
      <c r="W111" s="96">
        <f>SUM(K111:V111)</f>
        <v>641242.86396347894</v>
      </c>
      <c r="X111" s="96"/>
      <c r="Y111" s="96">
        <v>636850.87918264233</v>
      </c>
      <c r="Z111" s="96">
        <f t="shared" si="151"/>
        <v>-4391.9847808366176</v>
      </c>
      <c r="AA111" s="148">
        <f t="shared" si="152"/>
        <v>-6.8964100143403288E-3</v>
      </c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R111" s="167"/>
      <c r="AS111" s="167"/>
      <c r="AT111" s="167"/>
      <c r="AU111" s="111"/>
      <c r="AV111" s="111"/>
      <c r="AW111" s="111">
        <v>1</v>
      </c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</row>
    <row r="112" spans="1:63" s="55" customFormat="1" ht="16.8">
      <c r="A112" s="105"/>
      <c r="B112" s="106"/>
      <c r="C112" s="112"/>
      <c r="D112" s="110"/>
      <c r="E112" s="112"/>
      <c r="F112" s="58"/>
      <c r="G112" s="95" t="s">
        <v>529</v>
      </c>
      <c r="H112" s="67"/>
      <c r="I112" s="67"/>
      <c r="J112" s="67"/>
      <c r="K112" s="96">
        <f>-K127-K138</f>
        <v>0</v>
      </c>
      <c r="L112" s="96">
        <f>-L127-L138</f>
        <v>0</v>
      </c>
      <c r="M112" s="96">
        <f>-M127-M138</f>
        <v>0</v>
      </c>
      <c r="N112" s="96">
        <f>-N127-N138</f>
        <v>0</v>
      </c>
      <c r="O112" s="96">
        <f>-O127-O138</f>
        <v>0</v>
      </c>
      <c r="P112" s="96">
        <f>-P127-P138</f>
        <v>0</v>
      </c>
      <c r="Q112" s="96">
        <f>-Q127-Q138</f>
        <v>0</v>
      </c>
      <c r="R112" s="96">
        <f>-R127-R138</f>
        <v>0</v>
      </c>
      <c r="S112" s="96">
        <f>-S127-S138</f>
        <v>0</v>
      </c>
      <c r="T112" s="96">
        <f>-T127-T138</f>
        <v>0</v>
      </c>
      <c r="U112" s="96">
        <f>-U127-U138</f>
        <v>0</v>
      </c>
      <c r="V112" s="96">
        <f>-V127-V138</f>
        <v>0</v>
      </c>
      <c r="W112" s="96">
        <f>SUM(K112:V112)</f>
        <v>0</v>
      </c>
      <c r="X112" s="96"/>
      <c r="Y112" s="96">
        <f>-Y127-Y138</f>
        <v>0</v>
      </c>
      <c r="Z112" s="96">
        <f t="shared" ref="Z112" si="153">Y112-W112</f>
        <v>0</v>
      </c>
      <c r="AA112" s="148">
        <f t="shared" ref="AA112" si="154">IF(Y112=0,0,Z112/Y112)</f>
        <v>0</v>
      </c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R112" s="167"/>
      <c r="AS112" s="167"/>
      <c r="AT112" s="167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</row>
    <row r="113" spans="1:63" ht="17.399999999999999" thickBot="1">
      <c r="A113" s="105"/>
      <c r="B113" s="106"/>
      <c r="C113" s="112" t="s">
        <v>354</v>
      </c>
      <c r="D113" s="110"/>
      <c r="E113" s="112"/>
      <c r="F113" s="58"/>
      <c r="G113" s="95" t="s">
        <v>504</v>
      </c>
      <c r="H113" s="95"/>
      <c r="I113" s="95"/>
      <c r="J113" s="67"/>
      <c r="K113" s="96">
        <f>SUM(K108:K112)</f>
        <v>488871.47083088581</v>
      </c>
      <c r="L113" s="96">
        <f>SUM(L108:L111)</f>
        <v>467134.79460890003</v>
      </c>
      <c r="M113" s="96">
        <f>SUM(M108:M111)</f>
        <v>476315.38021050009</v>
      </c>
      <c r="N113" s="96">
        <f>SUM(N108:N111)</f>
        <v>483842.20977900003</v>
      </c>
      <c r="O113" s="96">
        <f>SUM(O108:O111)</f>
        <v>450677.24780140002</v>
      </c>
      <c r="P113" s="96">
        <f>SUM(P108:P111)</f>
        <v>318234.97201904916</v>
      </c>
      <c r="Q113" s="96">
        <f>SUM(Q108:Q111)</f>
        <v>329846.77374643361</v>
      </c>
      <c r="R113" s="96">
        <f>SUM(R108:R111)</f>
        <v>328295.36221165967</v>
      </c>
      <c r="S113" s="96">
        <f>SUM(S108:S111)</f>
        <v>343446.53549822926</v>
      </c>
      <c r="T113" s="96">
        <f>SUM(T108:T111)</f>
        <v>351484.76977342594</v>
      </c>
      <c r="U113" s="96">
        <f>SUM(U108:U111)</f>
        <v>368198.05039729626</v>
      </c>
      <c r="V113" s="96">
        <f>SUM(V108:V111)</f>
        <v>376883.30291915225</v>
      </c>
      <c r="W113" s="96">
        <f>SUM(W108:W111)</f>
        <v>4783230.8697959315</v>
      </c>
      <c r="X113" s="96"/>
      <c r="Y113" s="96">
        <f>SUM(Y108:Y111)</f>
        <v>11285219.396341819</v>
      </c>
      <c r="Z113" s="96">
        <f t="shared" si="151"/>
        <v>6501988.5265458878</v>
      </c>
      <c r="AA113" s="148">
        <f t="shared" si="152"/>
        <v>0.57615083040862736</v>
      </c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R113" s="167"/>
      <c r="AS113" s="167"/>
      <c r="AT113" s="167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</row>
    <row r="114" spans="1:63" ht="18" thickTop="1" thickBot="1">
      <c r="A114" s="105"/>
      <c r="B114" s="106"/>
      <c r="C114" s="112" t="str">
        <f>"ACCT.BudgetType.BudgetType = '"&amp;C113&amp;"'"</f>
        <v>ACCT.BudgetType.BudgetType = 'PaidHours'</v>
      </c>
      <c r="D114" s="110" t="s">
        <v>411</v>
      </c>
      <c r="E114" s="112"/>
      <c r="F114" s="58"/>
      <c r="G114" s="95" t="s">
        <v>328</v>
      </c>
      <c r="H114" s="95"/>
      <c r="I114" s="95"/>
      <c r="J114" s="46"/>
      <c r="K114" s="86">
        <v>0</v>
      </c>
      <c r="L114" s="86">
        <v>0</v>
      </c>
      <c r="M114" s="86">
        <v>0</v>
      </c>
      <c r="N114" s="86">
        <v>0</v>
      </c>
      <c r="O114" s="86">
        <v>0</v>
      </c>
      <c r="P114" s="86">
        <v>0</v>
      </c>
      <c r="Q114" s="86">
        <v>0</v>
      </c>
      <c r="R114" s="86">
        <v>0</v>
      </c>
      <c r="S114" s="90">
        <f t="shared" ref="S114:V115" si="155">AK114</f>
        <v>0</v>
      </c>
      <c r="T114" s="90">
        <f t="shared" si="155"/>
        <v>0</v>
      </c>
      <c r="U114" s="90">
        <f t="shared" si="155"/>
        <v>0</v>
      </c>
      <c r="V114" s="90">
        <f t="shared" si="155"/>
        <v>0</v>
      </c>
      <c r="W114" s="97">
        <f>IF(W116=0,0,1-(SUM(W115,W113)/W116))</f>
        <v>2.2204460492503131E-16</v>
      </c>
      <c r="X114" s="97"/>
      <c r="Y114" s="97"/>
      <c r="Z114" s="97"/>
      <c r="AA114" s="97"/>
      <c r="AB114" s="97"/>
      <c r="AC114" s="97" cm="1">
        <f t="array" ref="AC114">IF(AC$7="",0,_xll.GetData(AC$7,$AQ114))</f>
        <v>0</v>
      </c>
      <c r="AD114" s="97" cm="1">
        <f t="array" ref="AD114">IF(AD$7="",0,_xll.GetData(AD$7,$AQ114))</f>
        <v>0</v>
      </c>
      <c r="AE114" s="97" cm="1">
        <f t="array" ref="AE114">IF(AE$7="",0,_xll.GetData(AE$7,$AQ114))</f>
        <v>0</v>
      </c>
      <c r="AF114" s="97" cm="1">
        <f t="array" ref="AF114">IF(AF$7="",0,_xll.GetData(AF$7,$AQ114))</f>
        <v>0</v>
      </c>
      <c r="AG114" s="97" cm="1">
        <f t="array" ref="AG114">IF(AG$7="",0,_xll.GetData(AG$7,$AQ114))</f>
        <v>0</v>
      </c>
      <c r="AH114" s="97" cm="1">
        <f t="array" ref="AH114">IF(AH$7="",0,_xll.GetData(AH$7,$AQ114))</f>
        <v>0</v>
      </c>
      <c r="AI114" s="97" cm="1">
        <f t="array" ref="AI114">IF(AI$7="",0,_xll.GetData(AI$7,$AQ114))</f>
        <v>0</v>
      </c>
      <c r="AJ114" s="97" cm="1">
        <f t="array" ref="AJ114">IF(AJ$7="",0,_xll.GetData(AJ$7,$AQ114))</f>
        <v>0</v>
      </c>
      <c r="AK114" s="97" cm="1">
        <f t="array" ref="AK114">IF(AK$7="",0,_xll.GetData(AK$7,$AQ114))</f>
        <v>0</v>
      </c>
      <c r="AL114" s="97" cm="1">
        <f t="array" ref="AL114">IF(AL$7="",0,_xll.GetData(AL$7,$AQ114))</f>
        <v>0</v>
      </c>
      <c r="AM114" s="97" cm="1">
        <f t="array" ref="AM114">IF(AM$7="",0,_xll.GetData(AM$7,$AQ114))</f>
        <v>0</v>
      </c>
      <c r="AN114" s="97" cm="1">
        <f t="array" ref="AN114">IF(AN$7="",0,_xll.GetData(AN$7,$AQ114))</f>
        <v>0</v>
      </c>
      <c r="AO114" s="46"/>
      <c r="AP114" s="111">
        <f>AP116</f>
        <v>35</v>
      </c>
      <c r="AQ114" s="111" t="str">
        <f>"Dept="&amp;AU114&amp;" And Acct="&amp;AV114</f>
        <v>Dept=0 And Acct=960100</v>
      </c>
      <c r="AR114" s="167" t="str">
        <f>IF(OR(AU114=0,AV114=0),"NoSave","[Save]")</f>
        <v>NoSave</v>
      </c>
      <c r="AS114" s="167"/>
      <c r="AT114" s="167"/>
      <c r="AU114" s="111">
        <f>AU116</f>
        <v>0</v>
      </c>
      <c r="AV114" s="111">
        <f>AV116</f>
        <v>960100</v>
      </c>
      <c r="AW114" s="111">
        <v>1</v>
      </c>
      <c r="AX114" s="280">
        <f>IF(K$20="CYA",0,K114)</f>
        <v>0</v>
      </c>
      <c r="AY114" s="280">
        <f t="shared" ref="AY114:AY115" si="156">IF(L$20="CYA",0,L114)</f>
        <v>0</v>
      </c>
      <c r="AZ114" s="280">
        <f t="shared" ref="AZ114:AZ115" si="157">IF(M$20="CYA",0,M114)</f>
        <v>0</v>
      </c>
      <c r="BA114" s="280">
        <f t="shared" ref="BA114:BA115" si="158">IF(N$20="CYA",0,N114)</f>
        <v>0</v>
      </c>
      <c r="BB114" s="280">
        <f t="shared" ref="BB114:BB115" si="159">IF(O$20="CYA",0,O114)</f>
        <v>0</v>
      </c>
      <c r="BC114" s="280">
        <f t="shared" ref="BC114:BC115" si="160">IF(P$20="CYA",0,P114)</f>
        <v>0</v>
      </c>
      <c r="BD114" s="280">
        <f t="shared" ref="BD114:BD115" si="161">IF(Q$20="CYA",0,Q114)</f>
        <v>0</v>
      </c>
      <c r="BE114" s="280">
        <f t="shared" ref="BE114:BE115" si="162">IF(R$20="CYA",0,R114)</f>
        <v>0</v>
      </c>
      <c r="BF114" s="280">
        <f t="shared" ref="BF114:BF115" si="163">IF(S$20="CYA",0,S114)</f>
        <v>0</v>
      </c>
      <c r="BG114" s="280">
        <f t="shared" ref="BG114:BG115" si="164">IF(T$20="CYA",0,T114)</f>
        <v>0</v>
      </c>
      <c r="BH114" s="280">
        <f t="shared" ref="BH114:BH115" si="165">IF(U$20="CYA",0,U114)</f>
        <v>0</v>
      </c>
      <c r="BI114" s="280">
        <f t="shared" ref="BI114:BI115" si="166">IF(V$20="CYA",0,V114)</f>
        <v>0</v>
      </c>
      <c r="BJ114" s="90">
        <f>CB114</f>
        <v>0</v>
      </c>
      <c r="BK114" s="86">
        <v>0</v>
      </c>
    </row>
    <row r="115" spans="1:63" ht="18" thickTop="1" thickBot="1">
      <c r="A115" s="113"/>
      <c r="B115" s="106"/>
      <c r="C115" s="112" t="str">
        <f>C114</f>
        <v>ACCT.BudgetType.BudgetType = 'PaidHours'</v>
      </c>
      <c r="D115" s="110" t="s">
        <v>411</v>
      </c>
      <c r="E115" s="112"/>
      <c r="F115" s="58"/>
      <c r="G115" s="95" t="s">
        <v>329</v>
      </c>
      <c r="H115" s="95"/>
      <c r="I115" s="95"/>
      <c r="J115" s="67"/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v>0</v>
      </c>
      <c r="Q115" s="96">
        <v>0</v>
      </c>
      <c r="R115" s="96">
        <v>0</v>
      </c>
      <c r="S115" s="89">
        <f t="shared" si="155"/>
        <v>0</v>
      </c>
      <c r="T115" s="89">
        <f t="shared" si="155"/>
        <v>0</v>
      </c>
      <c r="U115" s="89">
        <f t="shared" si="155"/>
        <v>0</v>
      </c>
      <c r="V115" s="89">
        <f t="shared" si="155"/>
        <v>0</v>
      </c>
      <c r="W115" s="96">
        <f>SUM(K115:V115)</f>
        <v>0</v>
      </c>
      <c r="X115" s="96"/>
      <c r="Y115" s="96"/>
      <c r="Z115" s="96"/>
      <c r="AA115" s="96"/>
      <c r="AB115" s="96"/>
      <c r="AC115" s="96" cm="1">
        <f t="array" ref="AC115">IF(AC$8="",0,_xll.GetData(AC$8,$AQ115))</f>
        <v>0</v>
      </c>
      <c r="AD115" s="96" cm="1">
        <f t="array" ref="AD115">IF(AD$8="",0,_xll.GetData(AD$8,$AQ115))</f>
        <v>0</v>
      </c>
      <c r="AE115" s="96" cm="1">
        <f t="array" ref="AE115">IF(AE$8="",0,_xll.GetData(AE$8,$AQ115))</f>
        <v>0</v>
      </c>
      <c r="AF115" s="96" cm="1">
        <f t="array" ref="AF115">IF(AF$8="",0,_xll.GetData(AF$8,$AQ115))</f>
        <v>0</v>
      </c>
      <c r="AG115" s="96" cm="1">
        <f t="array" ref="AG115">IF(AG$8="",0,_xll.GetData(AG$8,$AQ115))</f>
        <v>0</v>
      </c>
      <c r="AH115" s="96" cm="1">
        <f t="array" ref="AH115">IF(AH$8="",0,_xll.GetData(AH$8,$AQ115))</f>
        <v>0</v>
      </c>
      <c r="AI115" s="96" cm="1">
        <f t="array" ref="AI115">IF(AI$8="",0,_xll.GetData(AI$8,$AQ115))</f>
        <v>0</v>
      </c>
      <c r="AJ115" s="96" cm="1">
        <f t="array" ref="AJ115">IF(AJ$8="",0,_xll.GetData(AJ$8,$AQ115))</f>
        <v>0</v>
      </c>
      <c r="AK115" s="96" cm="1">
        <f t="array" ref="AK115">IF(AK$8="",0,_xll.GetData(AK$8,$AQ115))</f>
        <v>0</v>
      </c>
      <c r="AL115" s="96" cm="1">
        <f t="array" ref="AL115">IF(AL$8="",0,_xll.GetData(AL$8,$AQ115))</f>
        <v>0</v>
      </c>
      <c r="AM115" s="96" cm="1">
        <f t="array" ref="AM115">IF(AM$8="",0,_xll.GetData(AM$8,$AQ115))</f>
        <v>0</v>
      </c>
      <c r="AN115" s="96" cm="1">
        <f t="array" ref="AN115">IF(AN$8="",0,_xll.GetData(AN$8,$AQ115))</f>
        <v>0</v>
      </c>
      <c r="AO115" s="69"/>
      <c r="AP115" s="111">
        <f>AP116</f>
        <v>35</v>
      </c>
      <c r="AQ115" s="111" t="str">
        <f>"Dept="&amp;AU115&amp;" And Acct="&amp;AV115</f>
        <v>Dept=0 And Acct=960100</v>
      </c>
      <c r="AR115" s="167"/>
      <c r="AS115" s="167" t="str">
        <f>IF(OR(AU115=0,AV115=0),"NoSave","[Save]")</f>
        <v>NoSave</v>
      </c>
      <c r="AT115" s="167"/>
      <c r="AU115" s="111">
        <f>AU116</f>
        <v>0</v>
      </c>
      <c r="AV115" s="111">
        <f>AV116</f>
        <v>960100</v>
      </c>
      <c r="AW115" s="111">
        <v>1</v>
      </c>
      <c r="AX115" s="281">
        <f>IF(K$20="CYA",0,K115)</f>
        <v>0</v>
      </c>
      <c r="AY115" s="281">
        <f t="shared" si="156"/>
        <v>0</v>
      </c>
      <c r="AZ115" s="281">
        <f t="shared" si="157"/>
        <v>0</v>
      </c>
      <c r="BA115" s="281">
        <f t="shared" si="158"/>
        <v>0</v>
      </c>
      <c r="BB115" s="281">
        <f t="shared" si="159"/>
        <v>0</v>
      </c>
      <c r="BC115" s="281">
        <f t="shared" si="160"/>
        <v>0</v>
      </c>
      <c r="BD115" s="281">
        <f t="shared" si="161"/>
        <v>0</v>
      </c>
      <c r="BE115" s="281">
        <f t="shared" si="162"/>
        <v>0</v>
      </c>
      <c r="BF115" s="281">
        <f t="shared" si="163"/>
        <v>0</v>
      </c>
      <c r="BG115" s="281">
        <f t="shared" si="164"/>
        <v>0</v>
      </c>
      <c r="BH115" s="281">
        <f t="shared" si="165"/>
        <v>0</v>
      </c>
      <c r="BI115" s="281">
        <f t="shared" si="166"/>
        <v>0</v>
      </c>
      <c r="BJ115" s="89">
        <f>CB115</f>
        <v>0</v>
      </c>
      <c r="BK115" s="96">
        <v>0</v>
      </c>
    </row>
    <row r="116" spans="1:63" ht="17.399999999999999" thickTop="1">
      <c r="A116" s="105"/>
      <c r="B116" s="114"/>
      <c r="C116" s="112"/>
      <c r="D116" s="110"/>
      <c r="E116" s="112"/>
      <c r="F116" s="74"/>
      <c r="G116" s="100" t="str">
        <f>"   Total "&amp;G113</f>
        <v xml:space="preserve">   Total Total Paid Hours</v>
      </c>
      <c r="H116" s="100"/>
      <c r="I116" s="100"/>
      <c r="J116" s="116"/>
      <c r="K116" s="116">
        <f>IF(K$20="CYA",K113,K113*(1+K114)+K115)</f>
        <v>488871.47083088581</v>
      </c>
      <c r="L116" s="116">
        <f>IF(L$20="CYA",L113,L113*(1+L114)+L115)</f>
        <v>467134.79460890003</v>
      </c>
      <c r="M116" s="116">
        <f>IF(M$20="CYA",M113,M113*(1+M114)+M115)</f>
        <v>476315.38021050009</v>
      </c>
      <c r="N116" s="116">
        <f>IF(N$20="CYA",N113,N113*(1+N114)+N115)</f>
        <v>483842.20977900003</v>
      </c>
      <c r="O116" s="116">
        <f>IF(O$20="CYA",O113,O113*(1+O114)+O115)</f>
        <v>450677.24780140002</v>
      </c>
      <c r="P116" s="116">
        <f>IF(P$20="CYA",P113,P113*(1+P114)+P115)</f>
        <v>318234.97201904916</v>
      </c>
      <c r="Q116" s="116">
        <f>IF(Q$20="CYA",Q113,Q113*(1+Q114)+Q115)</f>
        <v>329846.77374643361</v>
      </c>
      <c r="R116" s="116">
        <f>IF(R$20="CYA",R113,R113*(1+R114)+R115)</f>
        <v>328295.36221165967</v>
      </c>
      <c r="S116" s="116">
        <f>IF(S$20="CYA",S113,S113*(1+S114)+S115)</f>
        <v>343446.53549822926</v>
      </c>
      <c r="T116" s="116">
        <f>IF(T$20="CYA",T113,T113*(1+T114)+T115)</f>
        <v>351484.76977342594</v>
      </c>
      <c r="U116" s="116">
        <f>IF(U$20="CYA",U113,U113*(1+U114)+U115)</f>
        <v>368198.05039729626</v>
      </c>
      <c r="V116" s="116">
        <f>IF(V$20="CYA",V113,V113*(1+V114)+V115)</f>
        <v>376883.30291915225</v>
      </c>
      <c r="W116" s="116">
        <f>SUM(K116:V116)</f>
        <v>4783230.8697959324</v>
      </c>
      <c r="X116" s="116"/>
      <c r="Y116" s="116">
        <f>SUM(Y113:Y115)</f>
        <v>11285219.396341819</v>
      </c>
      <c r="Z116" s="116">
        <f>Y116-W116</f>
        <v>6501988.5265458869</v>
      </c>
      <c r="AA116" s="102">
        <f>IF(Y116=0,0,Z116/Y116)</f>
        <v>0.57615083040862725</v>
      </c>
      <c r="AB116" s="116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67"/>
      <c r="AP116" s="111">
        <f>ROW(Control!D35)</f>
        <v>35</v>
      </c>
      <c r="AQ116" s="111"/>
      <c r="AR116" s="167"/>
      <c r="AS116" s="167"/>
      <c r="AT116" s="167" t="str">
        <f>IF(OR(AU116=0,AV116=0),"NoSave","[Save]")</f>
        <v>NoSave</v>
      </c>
      <c r="AU116" s="111" cm="1">
        <f t="array" ref="AU116">INDEX(Control!G$1:G$9997,$AP116)</f>
        <v>0</v>
      </c>
      <c r="AV116" s="111" cm="1">
        <f t="array" ref="AV116">INDEX(Control!I$1:I$9997,$AP116)</f>
        <v>960100</v>
      </c>
      <c r="AW116" s="111">
        <v>1</v>
      </c>
      <c r="AX116" s="281">
        <f>IF(K$20="CYA",0,K116-K113)</f>
        <v>0</v>
      </c>
      <c r="AY116" s="281">
        <f t="shared" ref="AY116" si="167">IF(L$20="CYA",0,L116-L113)</f>
        <v>0</v>
      </c>
      <c r="AZ116" s="281">
        <f t="shared" ref="AZ116" si="168">IF(M$20="CYA",0,M116-M113)</f>
        <v>0</v>
      </c>
      <c r="BA116" s="281">
        <f t="shared" ref="BA116" si="169">IF(N$20="CYA",0,N116-N113)</f>
        <v>0</v>
      </c>
      <c r="BB116" s="281">
        <f t="shared" ref="BB116" si="170">IF(O$20="CYA",0,O116-O113)</f>
        <v>0</v>
      </c>
      <c r="BC116" s="281">
        <f t="shared" ref="BC116" si="171">IF(P$20="CYA",0,P116-P113)</f>
        <v>0</v>
      </c>
      <c r="BD116" s="281">
        <f t="shared" ref="BD116" si="172">IF(Q$20="CYA",0,Q116-Q113)</f>
        <v>0</v>
      </c>
      <c r="BE116" s="281">
        <f t="shared" ref="BE116" si="173">IF(R$20="CYA",0,R116-R113)</f>
        <v>0</v>
      </c>
      <c r="BF116" s="281">
        <f t="shared" ref="BF116" si="174">IF(S$20="CYA",0,S116-S113)</f>
        <v>0</v>
      </c>
      <c r="BG116" s="281">
        <f t="shared" ref="BG116" si="175">IF(T$20="CYA",0,T116-T113)</f>
        <v>0</v>
      </c>
      <c r="BH116" s="281">
        <f t="shared" ref="BH116" si="176">IF(U$20="CYA",0,U116-U113)</f>
        <v>0</v>
      </c>
      <c r="BI116" s="281">
        <f t="shared" ref="BI116" si="177">IF(V$20="CYA",0,V116-V113)</f>
        <v>0</v>
      </c>
    </row>
    <row r="117" spans="1:63" ht="16.8">
      <c r="A117" s="105"/>
      <c r="B117" s="106"/>
      <c r="C117" s="112"/>
      <c r="D117" s="110"/>
      <c r="E117" s="112"/>
      <c r="F117" s="74"/>
      <c r="G117" s="100" t="s">
        <v>294</v>
      </c>
      <c r="H117" s="100"/>
      <c r="I117" s="100"/>
      <c r="J117" s="116"/>
      <c r="K117" s="151">
        <f>IF(K19=0,0,K116/K19)</f>
        <v>2767.3400566574696</v>
      </c>
      <c r="L117" s="151">
        <f>IF(L19=0,0,L116/L19)</f>
        <v>2644.2959062073328</v>
      </c>
      <c r="M117" s="151">
        <f>IF(M19=0,0,M116/M19)</f>
        <v>2786.1396438594961</v>
      </c>
      <c r="N117" s="151">
        <f>IF(N19=0,0,N116/N19)</f>
        <v>2738.8710696236872</v>
      </c>
      <c r="O117" s="151">
        <f>IF(O19=0,0,O116/O19)</f>
        <v>2636.1730039665231</v>
      </c>
      <c r="P117" s="151">
        <f>IF(P19=0,0,P116/P19)</f>
        <v>1801.423151162425</v>
      </c>
      <c r="Q117" s="151">
        <f>IF(Q19=0,0,Q116/Q19)</f>
        <v>1867.1537285584443</v>
      </c>
      <c r="R117" s="151">
        <f>IF(R19=0,0,R116/R19)</f>
        <v>1959.251262381558</v>
      </c>
      <c r="S117" s="151">
        <f>IF(S19=0,0,S116/S19)</f>
        <v>1944.1374915765186</v>
      </c>
      <c r="T117" s="151">
        <f>IF(T19=0,0,T116/T19)</f>
        <v>2055.9605924246875</v>
      </c>
      <c r="U117" s="151">
        <f>IF(U19=0,0,U116/U19)</f>
        <v>2084.2476488060388</v>
      </c>
      <c r="V117" s="151">
        <f>IF(V19=0,0,V116/V19)</f>
        <v>2204.5257302161954</v>
      </c>
      <c r="W117" s="152">
        <f>IF(W19=0,0,W116/W19)</f>
        <v>2290.8193820861775</v>
      </c>
      <c r="X117" s="152"/>
      <c r="Y117" s="152">
        <f>IF(Y19=0,0,Y116/Y19)</f>
        <v>5404.7985614663958</v>
      </c>
      <c r="Z117" s="116">
        <f>IF(Z19=0,0,Z116/Z19)</f>
        <v>0</v>
      </c>
      <c r="AA117" s="102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78"/>
      <c r="AP117" s="111"/>
      <c r="AQ117" s="111"/>
      <c r="AR117" s="167"/>
      <c r="AS117" s="167"/>
      <c r="AT117" s="167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</row>
    <row r="118" spans="1:63" s="55" customFormat="1" ht="16.8">
      <c r="A118" s="105"/>
      <c r="B118" s="106"/>
      <c r="C118" s="112"/>
      <c r="D118" s="110"/>
      <c r="E118" s="112"/>
      <c r="F118" s="74"/>
      <c r="G118" s="100"/>
      <c r="H118" s="100"/>
      <c r="I118" s="100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02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78"/>
      <c r="AP118" s="111"/>
      <c r="AQ118" s="111"/>
      <c r="AR118" s="167"/>
      <c r="AS118" s="167"/>
      <c r="AT118" s="167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</row>
    <row r="119" spans="1:63" ht="16.8">
      <c r="A119" s="105"/>
      <c r="B119" s="106"/>
      <c r="C119" s="112"/>
      <c r="D119" s="110"/>
      <c r="E119" s="112"/>
      <c r="F119" s="58"/>
      <c r="G119" s="94" t="s">
        <v>231</v>
      </c>
      <c r="H119" s="94"/>
      <c r="I119" s="94"/>
      <c r="J119" s="94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R119" s="167"/>
      <c r="AS119" s="167"/>
      <c r="AT119" s="167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</row>
    <row r="120" spans="1:63" ht="16.8">
      <c r="A120" s="105"/>
      <c r="B120" s="106"/>
      <c r="C120" s="112"/>
      <c r="D120" s="110"/>
      <c r="E120" s="112"/>
      <c r="F120" s="58"/>
      <c r="G120" s="95"/>
      <c r="H120" s="67"/>
      <c r="I120" s="67"/>
      <c r="J120" s="67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R120" s="167"/>
      <c r="AS120" s="167"/>
      <c r="AT120" s="167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</row>
    <row r="121" spans="1:63" ht="17.399999999999999" thickBot="1">
      <c r="A121" s="105" t="str">
        <f>C121</f>
        <v>E_Salaries</v>
      </c>
      <c r="B121" s="106"/>
      <c r="C121" s="112" t="s">
        <v>338</v>
      </c>
      <c r="D121" s="110"/>
      <c r="E121" s="112"/>
      <c r="F121" s="58"/>
      <c r="G121" s="95" t="s">
        <v>232</v>
      </c>
      <c r="H121" s="67"/>
      <c r="I121" s="67"/>
      <c r="J121" s="67"/>
      <c r="K121" s="96">
        <v>13210984.220000001</v>
      </c>
      <c r="L121" s="96">
        <v>12615154.480000002</v>
      </c>
      <c r="M121" s="96">
        <v>12942350.33</v>
      </c>
      <c r="N121" s="96">
        <v>13577286.23</v>
      </c>
      <c r="O121" s="96">
        <v>12718589.509999998</v>
      </c>
      <c r="P121" s="96">
        <v>10320039.806524135</v>
      </c>
      <c r="Q121" s="96">
        <v>10589881.847995797</v>
      </c>
      <c r="R121" s="96">
        <v>10324123.461767185</v>
      </c>
      <c r="S121" s="96">
        <v>10867974.892152574</v>
      </c>
      <c r="T121" s="96">
        <v>10902033.860718571</v>
      </c>
      <c r="U121" s="96">
        <v>11361471.294804018</v>
      </c>
      <c r="V121" s="96">
        <v>11399786.918741908</v>
      </c>
      <c r="W121" s="96">
        <f>SUM(K121:V121)</f>
        <v>140829676.8527042</v>
      </c>
      <c r="X121" s="96"/>
      <c r="Y121" s="96">
        <v>140102505.96073645</v>
      </c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R121" s="167"/>
      <c r="AS121" s="167"/>
      <c r="AT121" s="167"/>
      <c r="AU121" s="111"/>
      <c r="AV121" s="111"/>
      <c r="AW121" s="111">
        <v>1</v>
      </c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</row>
    <row r="122" spans="1:63" ht="18" thickTop="1" thickBot="1">
      <c r="A122" s="105"/>
      <c r="B122" s="106"/>
      <c r="C122" s="112" t="str">
        <f>"ACCT.FSDetail='"&amp;C121&amp;"'"</f>
        <v>ACCT.FSDetail='E_Salaries'</v>
      </c>
      <c r="D122" s="110" t="s">
        <v>411</v>
      </c>
      <c r="E122" s="112"/>
      <c r="F122" s="58"/>
      <c r="G122" s="95" t="s">
        <v>328</v>
      </c>
      <c r="H122" s="58"/>
      <c r="I122" s="46"/>
      <c r="J122" s="46"/>
      <c r="K122" s="86">
        <v>0</v>
      </c>
      <c r="L122" s="86">
        <v>0</v>
      </c>
      <c r="M122" s="86">
        <v>0</v>
      </c>
      <c r="N122" s="86">
        <v>0</v>
      </c>
      <c r="O122" s="86">
        <v>0</v>
      </c>
      <c r="P122" s="86">
        <v>0</v>
      </c>
      <c r="Q122" s="86">
        <v>0</v>
      </c>
      <c r="R122" s="86">
        <v>0</v>
      </c>
      <c r="S122" s="90">
        <f t="shared" ref="S122:V123" si="178">AK122</f>
        <v>0</v>
      </c>
      <c r="T122" s="90">
        <f t="shared" si="178"/>
        <v>0</v>
      </c>
      <c r="U122" s="90">
        <f t="shared" si="178"/>
        <v>0</v>
      </c>
      <c r="V122" s="90">
        <f t="shared" si="178"/>
        <v>0</v>
      </c>
      <c r="W122" s="97">
        <f>IF(W124=0,0,1-(SUM(W123,W121)/W124))</f>
        <v>0</v>
      </c>
      <c r="X122" s="97"/>
      <c r="Y122" s="97"/>
      <c r="Z122" s="97"/>
      <c r="AA122" s="97"/>
      <c r="AB122" s="97"/>
      <c r="AC122" s="97" cm="1">
        <f t="array" ref="AC122">IF(AC$7="",0,_xll.GetData(AC$7,$AQ122))</f>
        <v>0</v>
      </c>
      <c r="AD122" s="97" cm="1">
        <f t="array" ref="AD122">IF(AD$7="",0,_xll.GetData(AD$7,$AQ122))</f>
        <v>0</v>
      </c>
      <c r="AE122" s="97" cm="1">
        <f t="array" ref="AE122">IF(AE$7="",0,_xll.GetData(AE$7,$AQ122))</f>
        <v>0</v>
      </c>
      <c r="AF122" s="97" cm="1">
        <f t="array" ref="AF122">IF(AF$7="",0,_xll.GetData(AF$7,$AQ122))</f>
        <v>0</v>
      </c>
      <c r="AG122" s="97" cm="1">
        <f t="array" ref="AG122">IF(AG$7="",0,_xll.GetData(AG$7,$AQ122))</f>
        <v>0</v>
      </c>
      <c r="AH122" s="97" cm="1">
        <f t="array" ref="AH122">IF(AH$7="",0,_xll.GetData(AH$7,$AQ122))</f>
        <v>0</v>
      </c>
      <c r="AI122" s="97" cm="1">
        <f t="array" ref="AI122">IF(AI$7="",0,_xll.GetData(AI$7,$AQ122))</f>
        <v>0</v>
      </c>
      <c r="AJ122" s="97" cm="1">
        <f t="array" ref="AJ122">IF(AJ$7="",0,_xll.GetData(AJ$7,$AQ122))</f>
        <v>0</v>
      </c>
      <c r="AK122" s="97" cm="1">
        <f t="array" ref="AK122">IF(AK$7="",0,_xll.GetData(AK$7,$AQ122))</f>
        <v>0</v>
      </c>
      <c r="AL122" s="97" cm="1">
        <f t="array" ref="AL122">IF(AL$7="",0,_xll.GetData(AL$7,$AQ122))</f>
        <v>0</v>
      </c>
      <c r="AM122" s="97" cm="1">
        <f t="array" ref="AM122">IF(AM$7="",0,_xll.GetData(AM$7,$AQ122))</f>
        <v>0</v>
      </c>
      <c r="AN122" s="97" cm="1">
        <f t="array" ref="AN122">IF(AN$7="",0,_xll.GetData(AN$7,$AQ122))</f>
        <v>0</v>
      </c>
      <c r="AO122" s="46"/>
      <c r="AP122" s="111">
        <f>AP124</f>
        <v>41</v>
      </c>
      <c r="AQ122" s="111" t="str">
        <f>"Dept="&amp;AU122&amp;" And Acct="&amp;AV122</f>
        <v>Dept=0 And Acct=60100</v>
      </c>
      <c r="AR122" s="167" t="str">
        <f>IF(OR(AU122=0,AV122=0),"NoSave","[Save]")</f>
        <v>NoSave</v>
      </c>
      <c r="AS122" s="167"/>
      <c r="AT122" s="167"/>
      <c r="AU122" s="111">
        <f>AU124</f>
        <v>0</v>
      </c>
      <c r="AV122" s="111">
        <f>AV124</f>
        <v>60100</v>
      </c>
      <c r="AW122" s="111">
        <v>1</v>
      </c>
      <c r="AX122" s="280">
        <f>IF(K$20="CYA",0,K122)</f>
        <v>0</v>
      </c>
      <c r="AY122" s="280">
        <f t="shared" ref="AY122:AY123" si="179">IF(L$20="CYA",0,L122)</f>
        <v>0</v>
      </c>
      <c r="AZ122" s="280">
        <f t="shared" ref="AZ122:AZ123" si="180">IF(M$20="CYA",0,M122)</f>
        <v>0</v>
      </c>
      <c r="BA122" s="280">
        <f t="shared" ref="BA122:BA123" si="181">IF(N$20="CYA",0,N122)</f>
        <v>0</v>
      </c>
      <c r="BB122" s="280">
        <f t="shared" ref="BB122:BB123" si="182">IF(O$20="CYA",0,O122)</f>
        <v>0</v>
      </c>
      <c r="BC122" s="280">
        <f t="shared" ref="BC122:BC123" si="183">IF(P$20="CYA",0,P122)</f>
        <v>0</v>
      </c>
      <c r="BD122" s="280">
        <f t="shared" ref="BD122:BD123" si="184">IF(Q$20="CYA",0,Q122)</f>
        <v>0</v>
      </c>
      <c r="BE122" s="280">
        <f t="shared" ref="BE122:BE123" si="185">IF(R$20="CYA",0,R122)</f>
        <v>0</v>
      </c>
      <c r="BF122" s="280">
        <f t="shared" ref="BF122:BF123" si="186">IF(S$20="CYA",0,S122)</f>
        <v>0</v>
      </c>
      <c r="BG122" s="280">
        <f t="shared" ref="BG122:BG123" si="187">IF(T$20="CYA",0,T122)</f>
        <v>0</v>
      </c>
      <c r="BH122" s="280">
        <f t="shared" ref="BH122:BH123" si="188">IF(U$20="CYA",0,U122)</f>
        <v>0</v>
      </c>
      <c r="BI122" s="280">
        <f t="shared" ref="BI122:BI123" si="189">IF(V$20="CYA",0,V122)</f>
        <v>0</v>
      </c>
      <c r="BJ122" s="90">
        <f>CB122</f>
        <v>0</v>
      </c>
      <c r="BK122" s="86">
        <v>0</v>
      </c>
    </row>
    <row r="123" spans="1:63" ht="18" thickTop="1" thickBot="1">
      <c r="A123" s="113"/>
      <c r="B123" s="106"/>
      <c r="C123" s="112" t="str">
        <f>C122</f>
        <v>ACCT.FSDetail='E_Salaries'</v>
      </c>
      <c r="D123" s="110" t="s">
        <v>411</v>
      </c>
      <c r="E123" s="112"/>
      <c r="F123" s="58"/>
      <c r="G123" s="95" t="s">
        <v>329</v>
      </c>
      <c r="H123" s="58"/>
      <c r="I123" s="71"/>
      <c r="J123" s="67"/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6">
        <v>0</v>
      </c>
      <c r="Q123" s="96">
        <v>0</v>
      </c>
      <c r="R123" s="96">
        <v>0</v>
      </c>
      <c r="S123" s="89">
        <f t="shared" si="178"/>
        <v>0</v>
      </c>
      <c r="T123" s="89">
        <f t="shared" si="178"/>
        <v>0</v>
      </c>
      <c r="U123" s="89">
        <f t="shared" si="178"/>
        <v>0</v>
      </c>
      <c r="V123" s="89">
        <f t="shared" si="178"/>
        <v>0</v>
      </c>
      <c r="W123" s="96">
        <f>SUM(K123:V123)</f>
        <v>0</v>
      </c>
      <c r="X123" s="96"/>
      <c r="Y123" s="96"/>
      <c r="Z123" s="96"/>
      <c r="AA123" s="96"/>
      <c r="AB123" s="96"/>
      <c r="AC123" s="96" cm="1">
        <f t="array" ref="AC123">IF(AC$8="",0,_xll.GetData(AC$8,$AQ123))</f>
        <v>0</v>
      </c>
      <c r="AD123" s="96" cm="1">
        <f t="array" ref="AD123">IF(AD$8="",0,_xll.GetData(AD$8,$AQ123))</f>
        <v>0</v>
      </c>
      <c r="AE123" s="96" cm="1">
        <f t="array" ref="AE123">IF(AE$8="",0,_xll.GetData(AE$8,$AQ123))</f>
        <v>0</v>
      </c>
      <c r="AF123" s="96" cm="1">
        <f t="array" ref="AF123">IF(AF$8="",0,_xll.GetData(AF$8,$AQ123))</f>
        <v>0</v>
      </c>
      <c r="AG123" s="96" cm="1">
        <f t="array" ref="AG123">IF(AG$8="",0,_xll.GetData(AG$8,$AQ123))</f>
        <v>0</v>
      </c>
      <c r="AH123" s="96" cm="1">
        <f t="array" ref="AH123">IF(AH$8="",0,_xll.GetData(AH$8,$AQ123))</f>
        <v>0</v>
      </c>
      <c r="AI123" s="96" cm="1">
        <f t="array" ref="AI123">IF(AI$8="",0,_xll.GetData(AI$8,$AQ123))</f>
        <v>0</v>
      </c>
      <c r="AJ123" s="96" cm="1">
        <f t="array" ref="AJ123">IF(AJ$8="",0,_xll.GetData(AJ$8,$AQ123))</f>
        <v>0</v>
      </c>
      <c r="AK123" s="96" cm="1">
        <f t="array" ref="AK123">IF(AK$8="",0,_xll.GetData(AK$8,$AQ123))</f>
        <v>0</v>
      </c>
      <c r="AL123" s="96" cm="1">
        <f t="array" ref="AL123">IF(AL$8="",0,_xll.GetData(AL$8,$AQ123))</f>
        <v>0</v>
      </c>
      <c r="AM123" s="96" cm="1">
        <f t="array" ref="AM123">IF(AM$8="",0,_xll.GetData(AM$8,$AQ123))</f>
        <v>0</v>
      </c>
      <c r="AN123" s="96" cm="1">
        <f t="array" ref="AN123">IF(AN$8="",0,_xll.GetData(AN$8,$AQ123))</f>
        <v>0</v>
      </c>
      <c r="AO123" s="69"/>
      <c r="AP123" s="111">
        <f>AP124</f>
        <v>41</v>
      </c>
      <c r="AQ123" s="111" t="str">
        <f>"Dept="&amp;AU123&amp;" And Acct="&amp;AV123</f>
        <v>Dept=0 And Acct=60100</v>
      </c>
      <c r="AR123" s="167"/>
      <c r="AS123" s="167" t="str">
        <f>IF(OR(AU123=0,AV123=0),"NoSave","[Save]")</f>
        <v>NoSave</v>
      </c>
      <c r="AT123" s="167"/>
      <c r="AU123" s="111">
        <f>AU124</f>
        <v>0</v>
      </c>
      <c r="AV123" s="111">
        <f>AV124</f>
        <v>60100</v>
      </c>
      <c r="AW123" s="111">
        <v>1</v>
      </c>
      <c r="AX123" s="281">
        <f>IF(K$20="CYA",0,K123)</f>
        <v>0</v>
      </c>
      <c r="AY123" s="281">
        <f t="shared" si="179"/>
        <v>0</v>
      </c>
      <c r="AZ123" s="281">
        <f t="shared" si="180"/>
        <v>0</v>
      </c>
      <c r="BA123" s="281">
        <f t="shared" si="181"/>
        <v>0</v>
      </c>
      <c r="BB123" s="281">
        <f t="shared" si="182"/>
        <v>0</v>
      </c>
      <c r="BC123" s="281">
        <f t="shared" si="183"/>
        <v>0</v>
      </c>
      <c r="BD123" s="281">
        <f t="shared" si="184"/>
        <v>0</v>
      </c>
      <c r="BE123" s="281">
        <f t="shared" si="185"/>
        <v>0</v>
      </c>
      <c r="BF123" s="281">
        <f t="shared" si="186"/>
        <v>0</v>
      </c>
      <c r="BG123" s="281">
        <f t="shared" si="187"/>
        <v>0</v>
      </c>
      <c r="BH123" s="281">
        <f t="shared" si="188"/>
        <v>0</v>
      </c>
      <c r="BI123" s="281">
        <f t="shared" si="189"/>
        <v>0</v>
      </c>
      <c r="BJ123" s="89">
        <f>CB123</f>
        <v>0</v>
      </c>
      <c r="BK123" s="96">
        <v>0</v>
      </c>
    </row>
    <row r="124" spans="1:63" ht="17.399999999999999" thickTop="1">
      <c r="A124" s="105"/>
      <c r="B124" s="114" t="str">
        <f>C121</f>
        <v>E_Salaries</v>
      </c>
      <c r="C124" s="112" t="s">
        <v>278</v>
      </c>
      <c r="D124" s="110"/>
      <c r="E124" s="112"/>
      <c r="F124" s="74"/>
      <c r="G124" s="100" t="str">
        <f>"   Total "&amp;G121</f>
        <v xml:space="preserve">   Total Salaries &amp; Wages</v>
      </c>
      <c r="H124" s="100"/>
      <c r="I124" s="100"/>
      <c r="J124" s="116"/>
      <c r="K124" s="116">
        <f>IF(K$20="CYA",K121,K121*(1+K122)+K123)</f>
        <v>13210984.220000001</v>
      </c>
      <c r="L124" s="116">
        <f>IF(L$20="CYA",L121,L121*(1+L122)+L123)</f>
        <v>12615154.480000002</v>
      </c>
      <c r="M124" s="116">
        <f>IF(M$20="CYA",M121,M121*(1+M122)+M123)</f>
        <v>12942350.33</v>
      </c>
      <c r="N124" s="116">
        <f>IF(N$20="CYA",N121,N121*(1+N122)+N123)</f>
        <v>13577286.23</v>
      </c>
      <c r="O124" s="116">
        <f>IF(O$20="CYA",O121,O121*(1+O122)+O123)</f>
        <v>12718589.509999998</v>
      </c>
      <c r="P124" s="116">
        <f>IF(P$20="CYA",P121,P121*(1+P122)+P123)</f>
        <v>10320039.806524135</v>
      </c>
      <c r="Q124" s="116">
        <f>IF(Q$20="CYA",Q121,Q121*(1+Q122)+Q123)</f>
        <v>10589881.847995797</v>
      </c>
      <c r="R124" s="116">
        <f>IF(R$20="CYA",R121,R121*(1+R122)+R123)</f>
        <v>10324123.461767185</v>
      </c>
      <c r="S124" s="116">
        <f>IF(S$20="CYA",S121,S121*(1+S122)+S123)</f>
        <v>10867974.892152574</v>
      </c>
      <c r="T124" s="116">
        <f>IF(T$20="CYA",T121,T121*(1+T122)+T123)</f>
        <v>10902033.860718571</v>
      </c>
      <c r="U124" s="116">
        <f>IF(U$20="CYA",U121,U121*(1+U122)+U123)</f>
        <v>11361471.294804018</v>
      </c>
      <c r="V124" s="116">
        <f>IF(V$20="CYA",V121,V121*(1+V122)+V123)</f>
        <v>11399786.918741908</v>
      </c>
      <c r="W124" s="116">
        <f>SUM(K124:V124)</f>
        <v>140829676.8527042</v>
      </c>
      <c r="X124" s="116"/>
      <c r="Y124" s="116">
        <f>SUM(Y121:Y123)</f>
        <v>140102505.96073645</v>
      </c>
      <c r="Z124" s="116">
        <f>Y124-W124</f>
        <v>-727170.89196774364</v>
      </c>
      <c r="AA124" s="102">
        <f>IF(Y124=0,0,Z124/Y124)</f>
        <v>-5.1902775541469064E-3</v>
      </c>
      <c r="AB124" s="116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67"/>
      <c r="AP124" s="111">
        <f>ROW(Control!D41)</f>
        <v>41</v>
      </c>
      <c r="AQ124" s="111"/>
      <c r="AR124" s="167"/>
      <c r="AS124" s="167"/>
      <c r="AT124" s="167" t="str">
        <f>IF(OR(AU124=0,AV124=0),"NoSave","[Save]")</f>
        <v>NoSave</v>
      </c>
      <c r="AU124" s="111" cm="1">
        <f t="array" ref="AU124">INDEX(Control!G$1:G$9997,$AP124)</f>
        <v>0</v>
      </c>
      <c r="AV124" s="111" cm="1">
        <f t="array" ref="AV124">INDEX(Control!I$1:I$9997,$AP124)</f>
        <v>60100</v>
      </c>
      <c r="AW124" s="111">
        <v>1</v>
      </c>
      <c r="AX124" s="281">
        <f>IF(K$20="CYA",0,K124-K121)</f>
        <v>0</v>
      </c>
      <c r="AY124" s="281">
        <f t="shared" ref="AY124" si="190">IF(L$20="CYA",0,L124-L121)</f>
        <v>0</v>
      </c>
      <c r="AZ124" s="281">
        <f t="shared" ref="AZ124" si="191">IF(M$20="CYA",0,M124-M121)</f>
        <v>0</v>
      </c>
      <c r="BA124" s="281">
        <f t="shared" ref="BA124" si="192">IF(N$20="CYA",0,N124-N121)</f>
        <v>0</v>
      </c>
      <c r="BB124" s="281">
        <f t="shared" ref="BB124" si="193">IF(O$20="CYA",0,O124-O121)</f>
        <v>0</v>
      </c>
      <c r="BC124" s="281">
        <f t="shared" ref="BC124" si="194">IF(P$20="CYA",0,P124-P121)</f>
        <v>0</v>
      </c>
      <c r="BD124" s="281">
        <f t="shared" ref="BD124" si="195">IF(Q$20="CYA",0,Q124-Q121)</f>
        <v>0</v>
      </c>
      <c r="BE124" s="281">
        <f t="shared" ref="BE124" si="196">IF(R$20="CYA",0,R124-R121)</f>
        <v>0</v>
      </c>
      <c r="BF124" s="281">
        <f t="shared" ref="BF124" si="197">IF(S$20="CYA",0,S124-S121)</f>
        <v>0</v>
      </c>
      <c r="BG124" s="281">
        <f t="shared" ref="BG124" si="198">IF(T$20="CYA",0,T124-T121)</f>
        <v>0</v>
      </c>
      <c r="BH124" s="281">
        <f t="shared" ref="BH124" si="199">IF(U$20="CYA",0,U124-U121)</f>
        <v>0</v>
      </c>
      <c r="BI124" s="281">
        <f t="shared" ref="BI124" si="200">IF(V$20="CYA",0,V124-V121)</f>
        <v>0</v>
      </c>
    </row>
    <row r="125" spans="1:63" s="55" customFormat="1" ht="16.8">
      <c r="A125" s="105"/>
      <c r="B125" s="114"/>
      <c r="C125" s="112"/>
      <c r="D125" s="110"/>
      <c r="E125" s="112"/>
      <c r="F125" s="74"/>
      <c r="G125" s="100" t="s">
        <v>505</v>
      </c>
      <c r="H125" s="100"/>
      <c r="I125" s="100"/>
      <c r="J125" s="147"/>
      <c r="K125" s="149">
        <f>IF(K116=0,0,K124/K116)</f>
        <v>27.023430509345566</v>
      </c>
      <c r="L125" s="149">
        <f>IF(L116=0,0,L124/L116)</f>
        <v>27.005383939686631</v>
      </c>
      <c r="M125" s="149">
        <f>IF(M116=0,0,M124/M116)</f>
        <v>27.171808569944417</v>
      </c>
      <c r="N125" s="149">
        <f>IF(N116=0,0,N124/N116)</f>
        <v>28.061392651545567</v>
      </c>
      <c r="O125" s="149">
        <f>IF(O116=0,0,O124/O116)</f>
        <v>28.221059687496581</v>
      </c>
      <c r="P125" s="149">
        <f>IF(P116=0,0,P124/P116)</f>
        <v>32.4289933977036</v>
      </c>
      <c r="Q125" s="149">
        <f>IF(Q116=0,0,Q124/Q116)</f>
        <v>32.105458324526957</v>
      </c>
      <c r="R125" s="149">
        <f>IF(R116=0,0,R124/R116)</f>
        <v>31.447667710611711</v>
      </c>
      <c r="S125" s="149">
        <f>IF(S116=0,0,S124/S116)</f>
        <v>31.643862344940167</v>
      </c>
      <c r="T125" s="149">
        <f>IF(T116=0,0,T124/T116)</f>
        <v>31.017087504947192</v>
      </c>
      <c r="U125" s="149">
        <f>IF(U116=0,0,U124/U116)</f>
        <v>30.856956690956576</v>
      </c>
      <c r="V125" s="149">
        <f>IF(V116=0,0,V124/V116)</f>
        <v>30.247524447076266</v>
      </c>
      <c r="W125" s="149">
        <f>IF(W116=0,0,W124/W116)</f>
        <v>29.442374973364483</v>
      </c>
      <c r="X125" s="149"/>
      <c r="Y125" s="149">
        <f>IF(Y116=0,0,Y124/Y116)</f>
        <v>12.414690493846459</v>
      </c>
      <c r="Z125" s="147"/>
      <c r="AA125" s="102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67"/>
      <c r="AP125" s="111"/>
      <c r="AQ125" s="111"/>
      <c r="AR125" s="167"/>
      <c r="AS125" s="167"/>
      <c r="AT125" s="167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</row>
    <row r="126" spans="1:63" s="55" customFormat="1" ht="16.8">
      <c r="A126" s="105"/>
      <c r="B126" s="106"/>
      <c r="C126" s="112"/>
      <c r="D126" s="110"/>
      <c r="E126" s="112"/>
      <c r="F126" s="58"/>
      <c r="G126" s="95"/>
      <c r="H126" s="67"/>
      <c r="I126" s="67"/>
      <c r="J126" s="67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R126" s="167"/>
      <c r="AS126" s="167"/>
      <c r="AT126" s="167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</row>
    <row r="127" spans="1:63" s="55" customFormat="1" ht="17.399999999999999" thickBot="1">
      <c r="A127" s="105"/>
      <c r="B127" s="106"/>
      <c r="C127" s="112" t="s">
        <v>530</v>
      </c>
      <c r="D127" s="110"/>
      <c r="E127" s="112"/>
      <c r="F127" s="58"/>
      <c r="G127" s="95" t="s">
        <v>525</v>
      </c>
      <c r="H127" s="95"/>
      <c r="I127" s="95"/>
      <c r="J127" s="67"/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v>0</v>
      </c>
      <c r="Q127" s="96">
        <v>0</v>
      </c>
      <c r="R127" s="96">
        <v>0</v>
      </c>
      <c r="S127" s="96">
        <v>0</v>
      </c>
      <c r="T127" s="96">
        <v>0</v>
      </c>
      <c r="U127" s="96">
        <v>0</v>
      </c>
      <c r="V127" s="96">
        <v>0</v>
      </c>
      <c r="W127" s="96">
        <f>SUM(W123:W126)</f>
        <v>140829706.29507917</v>
      </c>
      <c r="X127" s="96"/>
      <c r="Y127" s="96">
        <v>0</v>
      </c>
      <c r="Z127" s="96">
        <f t="shared" ref="Z127" si="201">Y127-W127</f>
        <v>-140829706.29507917</v>
      </c>
      <c r="AA127" s="148">
        <f t="shared" ref="AA127" si="202">IF(Y127=0,0,Z127/Y127)</f>
        <v>0</v>
      </c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R127" s="167"/>
      <c r="AS127" s="167"/>
      <c r="AT127" s="167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</row>
    <row r="128" spans="1:63" s="55" customFormat="1" ht="18" thickTop="1" thickBot="1">
      <c r="A128" s="105"/>
      <c r="B128" s="106"/>
      <c r="C128" s="112" t="str">
        <f>"ACCT.FSDetail='"&amp;C127&amp;"'"</f>
        <v>ACCT.FSDetail='H_Phy'</v>
      </c>
      <c r="D128" s="110" t="s">
        <v>411</v>
      </c>
      <c r="E128" s="112"/>
      <c r="F128" s="58"/>
      <c r="G128" s="95" t="s">
        <v>328</v>
      </c>
      <c r="H128" s="95"/>
      <c r="I128" s="95"/>
      <c r="J128" s="49"/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90">
        <f t="shared" ref="S128:V129" si="203">AK128</f>
        <v>0</v>
      </c>
      <c r="T128" s="90">
        <f t="shared" si="203"/>
        <v>0</v>
      </c>
      <c r="U128" s="90">
        <f t="shared" si="203"/>
        <v>0</v>
      </c>
      <c r="V128" s="90">
        <f t="shared" si="203"/>
        <v>0</v>
      </c>
      <c r="W128" s="97">
        <f>IF(W130=0,0,1-(SUM(W129,W127)/W130))</f>
        <v>0</v>
      </c>
      <c r="X128" s="97"/>
      <c r="Y128" s="97"/>
      <c r="Z128" s="97"/>
      <c r="AA128" s="97"/>
      <c r="AB128" s="97"/>
      <c r="AC128" s="97" cm="1">
        <f t="array" ref="AC128">IF(AC$7="",0,_xll.GetData(AC$7,$AQ128))</f>
        <v>0</v>
      </c>
      <c r="AD128" s="97" cm="1">
        <f t="array" ref="AD128">IF(AD$7="",0,_xll.GetData(AD$7,$AQ128))</f>
        <v>0</v>
      </c>
      <c r="AE128" s="97" cm="1">
        <f t="array" ref="AE128">IF(AE$7="",0,_xll.GetData(AE$7,$AQ128))</f>
        <v>0</v>
      </c>
      <c r="AF128" s="97" cm="1">
        <f t="array" ref="AF128">IF(AF$7="",0,_xll.GetData(AF$7,$AQ128))</f>
        <v>0</v>
      </c>
      <c r="AG128" s="97" cm="1">
        <f t="array" ref="AG128">IF(AG$7="",0,_xll.GetData(AG$7,$AQ128))</f>
        <v>0</v>
      </c>
      <c r="AH128" s="97" cm="1">
        <f t="array" ref="AH128">IF(AH$7="",0,_xll.GetData(AH$7,$AQ128))</f>
        <v>0</v>
      </c>
      <c r="AI128" s="97" cm="1">
        <f t="array" ref="AI128">IF(AI$7="",0,_xll.GetData(AI$7,$AQ128))</f>
        <v>0</v>
      </c>
      <c r="AJ128" s="97" cm="1">
        <f t="array" ref="AJ128">IF(AJ$7="",0,_xll.GetData(AJ$7,$AQ128))</f>
        <v>0</v>
      </c>
      <c r="AK128" s="97" cm="1">
        <f t="array" ref="AK128">IF(AK$7="",0,_xll.GetData(AK$7,$AQ128))</f>
        <v>0</v>
      </c>
      <c r="AL128" s="97" cm="1">
        <f t="array" ref="AL128">IF(AL$7="",0,_xll.GetData(AL$7,$AQ128))</f>
        <v>0</v>
      </c>
      <c r="AM128" s="97" cm="1">
        <f t="array" ref="AM128">IF(AM$7="",0,_xll.GetData(AM$7,$AQ128))</f>
        <v>0</v>
      </c>
      <c r="AN128" s="97" cm="1">
        <f t="array" ref="AN128">IF(AN$7="",0,_xll.GetData(AN$7,$AQ128))</f>
        <v>0</v>
      </c>
      <c r="AO128" s="49"/>
      <c r="AP128" s="111">
        <f>AP130</f>
        <v>36</v>
      </c>
      <c r="AQ128" s="111" t="str">
        <f>"Dept="&amp;AU128&amp;" And Acct="&amp;AV128</f>
        <v>Dept=0 And Acct=960006</v>
      </c>
      <c r="AR128" s="167" t="str">
        <f>IF(OR(AU128=0,AV128=0),"NoSave","[Save]")</f>
        <v>NoSave</v>
      </c>
      <c r="AS128" s="167"/>
      <c r="AT128" s="167"/>
      <c r="AU128" s="111">
        <f>AU130</f>
        <v>0</v>
      </c>
      <c r="AV128" s="111">
        <f>AV130</f>
        <v>960006</v>
      </c>
      <c r="AW128" s="111">
        <v>1</v>
      </c>
      <c r="AX128" s="280">
        <f>IF(K$20="CYA",0,K128)</f>
        <v>0</v>
      </c>
      <c r="AY128" s="280">
        <f t="shared" ref="AY128:AY129" si="204">IF(L$20="CYA",0,L128)</f>
        <v>0</v>
      </c>
      <c r="AZ128" s="280">
        <f t="shared" ref="AZ128:AZ129" si="205">IF(M$20="CYA",0,M128)</f>
        <v>0</v>
      </c>
      <c r="BA128" s="280">
        <f t="shared" ref="BA128:BA129" si="206">IF(N$20="CYA",0,N128)</f>
        <v>0</v>
      </c>
      <c r="BB128" s="280">
        <f t="shared" ref="BB128:BB129" si="207">IF(O$20="CYA",0,O128)</f>
        <v>0</v>
      </c>
      <c r="BC128" s="280">
        <f t="shared" ref="BC128:BC129" si="208">IF(P$20="CYA",0,P128)</f>
        <v>0</v>
      </c>
      <c r="BD128" s="280">
        <f t="shared" ref="BD128:BD129" si="209">IF(Q$20="CYA",0,Q128)</f>
        <v>0</v>
      </c>
      <c r="BE128" s="280">
        <f t="shared" ref="BE128:BE129" si="210">IF(R$20="CYA",0,R128)</f>
        <v>0</v>
      </c>
      <c r="BF128" s="280">
        <f t="shared" ref="BF128:BF129" si="211">IF(S$20="CYA",0,S128)</f>
        <v>0</v>
      </c>
      <c r="BG128" s="280">
        <f t="shared" ref="BG128:BG129" si="212">IF(T$20="CYA",0,T128)</f>
        <v>0</v>
      </c>
      <c r="BH128" s="280">
        <f t="shared" ref="BH128:BH129" si="213">IF(U$20="CYA",0,U128)</f>
        <v>0</v>
      </c>
      <c r="BI128" s="280">
        <f t="shared" ref="BI128:BI129" si="214">IF(V$20="CYA",0,V128)</f>
        <v>0</v>
      </c>
      <c r="BJ128" s="90">
        <f>CB128</f>
        <v>0</v>
      </c>
      <c r="BK128" s="86">
        <v>0</v>
      </c>
    </row>
    <row r="129" spans="1:63" s="55" customFormat="1" ht="18" thickTop="1" thickBot="1">
      <c r="A129" s="113"/>
      <c r="B129" s="106"/>
      <c r="C129" s="112" t="str">
        <f>C128</f>
        <v>ACCT.FSDetail='H_Phy'</v>
      </c>
      <c r="D129" s="110" t="s">
        <v>411</v>
      </c>
      <c r="E129" s="112"/>
      <c r="F129" s="58"/>
      <c r="G129" s="95" t="s">
        <v>329</v>
      </c>
      <c r="H129" s="95"/>
      <c r="I129" s="95"/>
      <c r="J129" s="67"/>
      <c r="K129" s="96">
        <v>0</v>
      </c>
      <c r="L129" s="96">
        <v>0</v>
      </c>
      <c r="M129" s="96">
        <v>0</v>
      </c>
      <c r="N129" s="96">
        <v>0</v>
      </c>
      <c r="O129" s="96">
        <v>0</v>
      </c>
      <c r="P129" s="96">
        <v>0</v>
      </c>
      <c r="Q129" s="96">
        <v>0</v>
      </c>
      <c r="R129" s="96">
        <v>0</v>
      </c>
      <c r="S129" s="89">
        <f t="shared" si="203"/>
        <v>0</v>
      </c>
      <c r="T129" s="89">
        <f t="shared" si="203"/>
        <v>0</v>
      </c>
      <c r="U129" s="89">
        <f t="shared" si="203"/>
        <v>0</v>
      </c>
      <c r="V129" s="89">
        <f t="shared" si="203"/>
        <v>0</v>
      </c>
      <c r="W129" s="96">
        <f>SUM(K129:V129)</f>
        <v>0</v>
      </c>
      <c r="X129" s="96"/>
      <c r="Y129" s="96"/>
      <c r="Z129" s="96"/>
      <c r="AA129" s="96"/>
      <c r="AB129" s="96"/>
      <c r="AC129" s="96" cm="1">
        <f t="array" ref="AC129">IF(AC$8="",0,_xll.GetData(AC$8,$AQ129))</f>
        <v>0</v>
      </c>
      <c r="AD129" s="96" cm="1">
        <f t="array" ref="AD129">IF(AD$8="",0,_xll.GetData(AD$8,$AQ129))</f>
        <v>0</v>
      </c>
      <c r="AE129" s="96" cm="1">
        <f t="array" ref="AE129">IF(AE$8="",0,_xll.GetData(AE$8,$AQ129))</f>
        <v>0</v>
      </c>
      <c r="AF129" s="96" cm="1">
        <f t="array" ref="AF129">IF(AF$8="",0,_xll.GetData(AF$8,$AQ129))</f>
        <v>0</v>
      </c>
      <c r="AG129" s="96" cm="1">
        <f t="array" ref="AG129">IF(AG$8="",0,_xll.GetData(AG$8,$AQ129))</f>
        <v>0</v>
      </c>
      <c r="AH129" s="96" cm="1">
        <f t="array" ref="AH129">IF(AH$8="",0,_xll.GetData(AH$8,$AQ129))</f>
        <v>0</v>
      </c>
      <c r="AI129" s="96" cm="1">
        <f t="array" ref="AI129">IF(AI$8="",0,_xll.GetData(AI$8,$AQ129))</f>
        <v>0</v>
      </c>
      <c r="AJ129" s="96" cm="1">
        <f t="array" ref="AJ129">IF(AJ$8="",0,_xll.GetData(AJ$8,$AQ129))</f>
        <v>0</v>
      </c>
      <c r="AK129" s="96" cm="1">
        <f t="array" ref="AK129">IF(AK$8="",0,_xll.GetData(AK$8,$AQ129))</f>
        <v>0</v>
      </c>
      <c r="AL129" s="96" cm="1">
        <f t="array" ref="AL129">IF(AL$8="",0,_xll.GetData(AL$8,$AQ129))</f>
        <v>0</v>
      </c>
      <c r="AM129" s="96" cm="1">
        <f t="array" ref="AM129">IF(AM$8="",0,_xll.GetData(AM$8,$AQ129))</f>
        <v>0</v>
      </c>
      <c r="AN129" s="96" cm="1">
        <f t="array" ref="AN129">IF(AN$8="",0,_xll.GetData(AN$8,$AQ129))</f>
        <v>0</v>
      </c>
      <c r="AO129" s="69"/>
      <c r="AP129" s="111">
        <f>AP130</f>
        <v>36</v>
      </c>
      <c r="AQ129" s="111" t="str">
        <f>"Dept="&amp;AU129&amp;" And Acct="&amp;AV129</f>
        <v>Dept=0 And Acct=960006</v>
      </c>
      <c r="AR129" s="167"/>
      <c r="AS129" s="167" t="str">
        <f>IF(OR(AU129=0,AV129=0),"NoSave","[Save]")</f>
        <v>NoSave</v>
      </c>
      <c r="AT129" s="167"/>
      <c r="AU129" s="111">
        <f>AU130</f>
        <v>0</v>
      </c>
      <c r="AV129" s="111">
        <f>AV130</f>
        <v>960006</v>
      </c>
      <c r="AW129" s="111">
        <v>1</v>
      </c>
      <c r="AX129" s="281">
        <f>IF(K$20="CYA",0,K129)</f>
        <v>0</v>
      </c>
      <c r="AY129" s="281">
        <f t="shared" si="204"/>
        <v>0</v>
      </c>
      <c r="AZ129" s="281">
        <f t="shared" si="205"/>
        <v>0</v>
      </c>
      <c r="BA129" s="281">
        <f t="shared" si="206"/>
        <v>0</v>
      </c>
      <c r="BB129" s="281">
        <f t="shared" si="207"/>
        <v>0</v>
      </c>
      <c r="BC129" s="281">
        <f t="shared" si="208"/>
        <v>0</v>
      </c>
      <c r="BD129" s="281">
        <f t="shared" si="209"/>
        <v>0</v>
      </c>
      <c r="BE129" s="281">
        <f t="shared" si="210"/>
        <v>0</v>
      </c>
      <c r="BF129" s="281">
        <f t="shared" si="211"/>
        <v>0</v>
      </c>
      <c r="BG129" s="281">
        <f t="shared" si="212"/>
        <v>0</v>
      </c>
      <c r="BH129" s="281">
        <f t="shared" si="213"/>
        <v>0</v>
      </c>
      <c r="BI129" s="281">
        <f t="shared" si="214"/>
        <v>0</v>
      </c>
      <c r="BJ129" s="89">
        <f>CB129</f>
        <v>0</v>
      </c>
      <c r="BK129" s="96">
        <v>0</v>
      </c>
    </row>
    <row r="130" spans="1:63" s="55" customFormat="1" ht="17.399999999999999" thickTop="1">
      <c r="A130" s="105"/>
      <c r="B130" s="114"/>
      <c r="C130" s="112"/>
      <c r="D130" s="110"/>
      <c r="E130" s="112"/>
      <c r="F130" s="74"/>
      <c r="G130" s="100" t="str">
        <f>"   Total "&amp;G127</f>
        <v xml:space="preserve">   Total Total Paid Hours - Physician</v>
      </c>
      <c r="H130" s="100"/>
      <c r="I130" s="100"/>
      <c r="J130" s="116"/>
      <c r="K130" s="116">
        <f>IF(K$20="CYA",K127,K127*(1+K128)+K129)</f>
        <v>0</v>
      </c>
      <c r="L130" s="116">
        <f>IF(L$20="CYA",L127,L127*(1+L128)+L129)</f>
        <v>0</v>
      </c>
      <c r="M130" s="116">
        <f>IF(M$20="CYA",M127,M127*(1+M128)+M129)</f>
        <v>0</v>
      </c>
      <c r="N130" s="116">
        <f>IF(N$20="CYA",N127,N127*(1+N128)+N129)</f>
        <v>0</v>
      </c>
      <c r="O130" s="116">
        <f>IF(O$20="CYA",O127,O127*(1+O128)+O129)</f>
        <v>0</v>
      </c>
      <c r="P130" s="116">
        <f>IF(P$20="CYA",P127,P127*(1+P128)+P129)</f>
        <v>0</v>
      </c>
      <c r="Q130" s="116">
        <f>IF(Q$20="CYA",Q127,Q127*(1+Q128)+Q129)</f>
        <v>0</v>
      </c>
      <c r="R130" s="116">
        <f>IF(R$20="CYA",R127,R127*(1+R128)+R129)</f>
        <v>0</v>
      </c>
      <c r="S130" s="116">
        <f>IF(S$20="CYA",S127,S127*(1+S128)+S129)</f>
        <v>0</v>
      </c>
      <c r="T130" s="116">
        <f>IF(T$20="CYA",T127,T127*(1+T128)+T129)</f>
        <v>0</v>
      </c>
      <c r="U130" s="116">
        <f>IF(U$20="CYA",U127,U127*(1+U128)+U129)</f>
        <v>0</v>
      </c>
      <c r="V130" s="116">
        <f>IF(V$20="CYA",V127,V127*(1+V128)+V129)</f>
        <v>0</v>
      </c>
      <c r="W130" s="116">
        <f>SUM(K130:V130)</f>
        <v>0</v>
      </c>
      <c r="X130" s="116"/>
      <c r="Y130" s="116">
        <f>SUM(Y127:Y129)</f>
        <v>0</v>
      </c>
      <c r="Z130" s="116">
        <f>Y130-W130</f>
        <v>0</v>
      </c>
      <c r="AA130" s="102">
        <f>IF(Y130=0,0,Z130/Y130)</f>
        <v>0</v>
      </c>
      <c r="AB130" s="116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67"/>
      <c r="AP130" s="111">
        <f>ROW(Control!D36)</f>
        <v>36</v>
      </c>
      <c r="AQ130" s="111"/>
      <c r="AR130" s="167"/>
      <c r="AS130" s="167"/>
      <c r="AT130" s="167" t="str">
        <f>IF(OR(AU130=0,AV130=0),"NoSave","[Save]")</f>
        <v>NoSave</v>
      </c>
      <c r="AU130" s="111" cm="1">
        <f t="array" ref="AU130">INDEX(Control!G$1:G$9997,$AP130)</f>
        <v>0</v>
      </c>
      <c r="AV130" s="111" cm="1">
        <f t="array" ref="AV130">INDEX(Control!I$1:I$9997,$AP130)</f>
        <v>960006</v>
      </c>
      <c r="AW130" s="111">
        <v>1</v>
      </c>
      <c r="AX130" s="281">
        <f>IF(K$20="CYA",0,K130-K127)</f>
        <v>0</v>
      </c>
      <c r="AY130" s="281">
        <f t="shared" ref="AY130" si="215">IF(L$20="CYA",0,L130-L127)</f>
        <v>0</v>
      </c>
      <c r="AZ130" s="281">
        <f t="shared" ref="AZ130" si="216">IF(M$20="CYA",0,M130-M127)</f>
        <v>0</v>
      </c>
      <c r="BA130" s="281">
        <f t="shared" ref="BA130" si="217">IF(N$20="CYA",0,N130-N127)</f>
        <v>0</v>
      </c>
      <c r="BB130" s="281">
        <f t="shared" ref="BB130" si="218">IF(O$20="CYA",0,O130-O127)</f>
        <v>0</v>
      </c>
      <c r="BC130" s="281">
        <f t="shared" ref="BC130" si="219">IF(P$20="CYA",0,P130-P127)</f>
        <v>0</v>
      </c>
      <c r="BD130" s="281">
        <f t="shared" ref="BD130" si="220">IF(Q$20="CYA",0,Q130-Q127)</f>
        <v>0</v>
      </c>
      <c r="BE130" s="281">
        <f t="shared" ref="BE130" si="221">IF(R$20="CYA",0,R130-R127)</f>
        <v>0</v>
      </c>
      <c r="BF130" s="281">
        <f t="shared" ref="BF130" si="222">IF(S$20="CYA",0,S130-S127)</f>
        <v>0</v>
      </c>
      <c r="BG130" s="281">
        <f t="shared" ref="BG130" si="223">IF(T$20="CYA",0,T130-T127)</f>
        <v>0</v>
      </c>
      <c r="BH130" s="281">
        <f t="shared" ref="BH130" si="224">IF(U$20="CYA",0,U130-U127)</f>
        <v>0</v>
      </c>
      <c r="BI130" s="281">
        <f t="shared" ref="BI130" si="225">IF(V$20="CYA",0,V130-V127)</f>
        <v>0</v>
      </c>
    </row>
    <row r="131" spans="1:63" s="55" customFormat="1" ht="16.8">
      <c r="A131" s="105"/>
      <c r="B131" s="106"/>
      <c r="C131" s="112"/>
      <c r="D131" s="110"/>
      <c r="E131" s="112"/>
      <c r="F131" s="74"/>
      <c r="G131" s="100" t="s">
        <v>294</v>
      </c>
      <c r="H131" s="100"/>
      <c r="I131" s="100"/>
      <c r="J131" s="116"/>
      <c r="K131" s="151">
        <f>IF(K35=0,0,K130/K35)</f>
        <v>0</v>
      </c>
      <c r="L131" s="151">
        <f>IF(L35=0,0,L130/L35)</f>
        <v>0</v>
      </c>
      <c r="M131" s="151">
        <f>IF(M35=0,0,M130/M35)</f>
        <v>0</v>
      </c>
      <c r="N131" s="151">
        <f>IF(N35=0,0,N130/N35)</f>
        <v>0</v>
      </c>
      <c r="O131" s="151">
        <f>IF(O35=0,0,O130/O35)</f>
        <v>0</v>
      </c>
      <c r="P131" s="151">
        <f>IF(P35=0,0,P130/P35)</f>
        <v>0</v>
      </c>
      <c r="Q131" s="151">
        <f>IF(Q35=0,0,Q130/Q35)</f>
        <v>0</v>
      </c>
      <c r="R131" s="151">
        <f>IF(R35=0,0,R130/R35)</f>
        <v>0</v>
      </c>
      <c r="S131" s="151">
        <f>IF(S35=0,0,S130/S35)</f>
        <v>0</v>
      </c>
      <c r="T131" s="151">
        <f>IF(T35=0,0,T130/T35)</f>
        <v>0</v>
      </c>
      <c r="U131" s="151">
        <f>IF(U35=0,0,U130/U35)</f>
        <v>0</v>
      </c>
      <c r="V131" s="151">
        <f>IF(V35=0,0,V130/V35)</f>
        <v>0</v>
      </c>
      <c r="W131" s="152">
        <f>IF(W35=0,0,W130/W35)</f>
        <v>0</v>
      </c>
      <c r="X131" s="152"/>
      <c r="Y131" s="152">
        <f>IF(Y35=0,0,Y130/Y35)</f>
        <v>0</v>
      </c>
      <c r="Z131" s="116">
        <f>IF(Z35=0,0,Z130/Z35)</f>
        <v>0</v>
      </c>
      <c r="AA131" s="102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78"/>
      <c r="AP131" s="111"/>
      <c r="AQ131" s="111"/>
      <c r="AR131" s="167"/>
      <c r="AS131" s="167"/>
      <c r="AT131" s="167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</row>
    <row r="132" spans="1:63" s="55" customFormat="1" ht="17.399999999999999" thickBot="1">
      <c r="A132" s="105" t="str">
        <f>C132</f>
        <v>E_SalariesPhy</v>
      </c>
      <c r="B132" s="106"/>
      <c r="C132" s="112" t="s">
        <v>521</v>
      </c>
      <c r="D132" s="110"/>
      <c r="E132" s="112"/>
      <c r="F132" s="58"/>
      <c r="G132" s="95" t="s">
        <v>519</v>
      </c>
      <c r="H132" s="67"/>
      <c r="I132" s="67"/>
      <c r="J132" s="67"/>
      <c r="K132" s="96">
        <v>0</v>
      </c>
      <c r="L132" s="96">
        <v>0</v>
      </c>
      <c r="M132" s="96">
        <v>0</v>
      </c>
      <c r="N132" s="96">
        <v>0</v>
      </c>
      <c r="O132" s="96">
        <v>0</v>
      </c>
      <c r="P132" s="96">
        <v>0</v>
      </c>
      <c r="Q132" s="96">
        <v>0</v>
      </c>
      <c r="R132" s="96">
        <v>0</v>
      </c>
      <c r="S132" s="96">
        <v>0</v>
      </c>
      <c r="T132" s="96">
        <v>0</v>
      </c>
      <c r="U132" s="96">
        <v>0</v>
      </c>
      <c r="V132" s="96">
        <v>0</v>
      </c>
      <c r="W132" s="96">
        <f>SUM(K132:V132)</f>
        <v>0</v>
      </c>
      <c r="X132" s="96"/>
      <c r="Y132" s="96">
        <v>0</v>
      </c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R132" s="167"/>
      <c r="AS132" s="167"/>
      <c r="AT132" s="167"/>
      <c r="AU132" s="111"/>
      <c r="AV132" s="111"/>
      <c r="AW132" s="111">
        <v>1</v>
      </c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</row>
    <row r="133" spans="1:63" s="55" customFormat="1" ht="18" thickTop="1" thickBot="1">
      <c r="A133" s="105"/>
      <c r="B133" s="106"/>
      <c r="C133" s="112" t="str">
        <f>"ACCT.FSDetail='"&amp;C132&amp;"'"</f>
        <v>ACCT.FSDetail='E_SalariesPhy'</v>
      </c>
      <c r="D133" s="110" t="s">
        <v>411</v>
      </c>
      <c r="E133" s="112"/>
      <c r="F133" s="58"/>
      <c r="G133" s="95" t="s">
        <v>328</v>
      </c>
      <c r="H133" s="58"/>
      <c r="I133" s="49"/>
      <c r="J133" s="49"/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90">
        <f t="shared" ref="S133:V134" si="226">AK133</f>
        <v>0</v>
      </c>
      <c r="T133" s="90">
        <f t="shared" si="226"/>
        <v>0</v>
      </c>
      <c r="U133" s="90">
        <f t="shared" si="226"/>
        <v>0</v>
      </c>
      <c r="V133" s="90">
        <f t="shared" si="226"/>
        <v>0</v>
      </c>
      <c r="W133" s="97">
        <f>IF(W135=0,0,1-(SUM(W134,W132)/W135))</f>
        <v>0</v>
      </c>
      <c r="X133" s="97"/>
      <c r="Y133" s="97"/>
      <c r="Z133" s="97"/>
      <c r="AA133" s="97"/>
      <c r="AB133" s="97"/>
      <c r="AC133" s="97" cm="1">
        <f t="array" ref="AC133">IF(AC$7="",0,_xll.GetData(AC$7,$AQ133))</f>
        <v>0</v>
      </c>
      <c r="AD133" s="97" cm="1">
        <f t="array" ref="AD133">IF(AD$7="",0,_xll.GetData(AD$7,$AQ133))</f>
        <v>0</v>
      </c>
      <c r="AE133" s="97" cm="1">
        <f t="array" ref="AE133">IF(AE$7="",0,_xll.GetData(AE$7,$AQ133))</f>
        <v>0</v>
      </c>
      <c r="AF133" s="97" cm="1">
        <f t="array" ref="AF133">IF(AF$7="",0,_xll.GetData(AF$7,$AQ133))</f>
        <v>0</v>
      </c>
      <c r="AG133" s="97" cm="1">
        <f t="array" ref="AG133">IF(AG$7="",0,_xll.GetData(AG$7,$AQ133))</f>
        <v>0</v>
      </c>
      <c r="AH133" s="97" cm="1">
        <f t="array" ref="AH133">IF(AH$7="",0,_xll.GetData(AH$7,$AQ133))</f>
        <v>0</v>
      </c>
      <c r="AI133" s="97" cm="1">
        <f t="array" ref="AI133">IF(AI$7="",0,_xll.GetData(AI$7,$AQ133))</f>
        <v>0</v>
      </c>
      <c r="AJ133" s="97" cm="1">
        <f t="array" ref="AJ133">IF(AJ$7="",0,_xll.GetData(AJ$7,$AQ133))</f>
        <v>0</v>
      </c>
      <c r="AK133" s="97" cm="1">
        <f t="array" ref="AK133">IF(AK$7="",0,_xll.GetData(AK$7,$AQ133))</f>
        <v>0</v>
      </c>
      <c r="AL133" s="97" cm="1">
        <f t="array" ref="AL133">IF(AL$7="",0,_xll.GetData(AL$7,$AQ133))</f>
        <v>0</v>
      </c>
      <c r="AM133" s="97" cm="1">
        <f t="array" ref="AM133">IF(AM$7="",0,_xll.GetData(AM$7,$AQ133))</f>
        <v>0</v>
      </c>
      <c r="AN133" s="97" cm="1">
        <f t="array" ref="AN133">IF(AN$7="",0,_xll.GetData(AN$7,$AQ133))</f>
        <v>0</v>
      </c>
      <c r="AO133" s="49"/>
      <c r="AP133" s="111">
        <f>AP135</f>
        <v>42</v>
      </c>
      <c r="AQ133" s="111" t="str">
        <f>"Dept="&amp;AU133&amp;" And Acct="&amp;AV133</f>
        <v>Dept=0 And Acct=60200</v>
      </c>
      <c r="AR133" s="167" t="str">
        <f>IF(OR(AU133=0,AV133=0),"NoSave","[Save]")</f>
        <v>NoSave</v>
      </c>
      <c r="AS133" s="167"/>
      <c r="AT133" s="167"/>
      <c r="AU133" s="111">
        <f>AU135</f>
        <v>0</v>
      </c>
      <c r="AV133" s="111">
        <f>AV135</f>
        <v>60200</v>
      </c>
      <c r="AW133" s="111">
        <v>1</v>
      </c>
      <c r="AX133" s="280">
        <f>IF(K$20="CYA",0,K133)</f>
        <v>0</v>
      </c>
      <c r="AY133" s="280">
        <f t="shared" ref="AY133:AY134" si="227">IF(L$20="CYA",0,L133)</f>
        <v>0</v>
      </c>
      <c r="AZ133" s="280">
        <f t="shared" ref="AZ133:AZ134" si="228">IF(M$20="CYA",0,M133)</f>
        <v>0</v>
      </c>
      <c r="BA133" s="280">
        <f t="shared" ref="BA133:BA134" si="229">IF(N$20="CYA",0,N133)</f>
        <v>0</v>
      </c>
      <c r="BB133" s="280">
        <f t="shared" ref="BB133:BB134" si="230">IF(O$20="CYA",0,O133)</f>
        <v>0</v>
      </c>
      <c r="BC133" s="280">
        <f t="shared" ref="BC133:BC134" si="231">IF(P$20="CYA",0,P133)</f>
        <v>0</v>
      </c>
      <c r="BD133" s="280">
        <f t="shared" ref="BD133:BD134" si="232">IF(Q$20="CYA",0,Q133)</f>
        <v>0</v>
      </c>
      <c r="BE133" s="280">
        <f t="shared" ref="BE133:BE134" si="233">IF(R$20="CYA",0,R133)</f>
        <v>0</v>
      </c>
      <c r="BF133" s="280">
        <f t="shared" ref="BF133:BF134" si="234">IF(S$20="CYA",0,S133)</f>
        <v>0</v>
      </c>
      <c r="BG133" s="280">
        <f t="shared" ref="BG133:BG134" si="235">IF(T$20="CYA",0,T133)</f>
        <v>0</v>
      </c>
      <c r="BH133" s="280">
        <f t="shared" ref="BH133:BH134" si="236">IF(U$20="CYA",0,U133)</f>
        <v>0</v>
      </c>
      <c r="BI133" s="280">
        <f t="shared" ref="BI133:BI134" si="237">IF(V$20="CYA",0,V133)</f>
        <v>0</v>
      </c>
      <c r="BJ133" s="90">
        <f>CB133</f>
        <v>0</v>
      </c>
      <c r="BK133" s="86">
        <v>0</v>
      </c>
    </row>
    <row r="134" spans="1:63" s="55" customFormat="1" ht="18" thickTop="1" thickBot="1">
      <c r="A134" s="113"/>
      <c r="B134" s="106"/>
      <c r="C134" s="112" t="str">
        <f>C133</f>
        <v>ACCT.FSDetail='E_SalariesPhy'</v>
      </c>
      <c r="D134" s="110" t="s">
        <v>411</v>
      </c>
      <c r="E134" s="112"/>
      <c r="F134" s="58"/>
      <c r="G134" s="95" t="s">
        <v>329</v>
      </c>
      <c r="H134" s="58"/>
      <c r="I134" s="71"/>
      <c r="J134" s="67"/>
      <c r="K134" s="96">
        <v>0</v>
      </c>
      <c r="L134" s="96">
        <v>0</v>
      </c>
      <c r="M134" s="96">
        <v>0</v>
      </c>
      <c r="N134" s="96">
        <v>0</v>
      </c>
      <c r="O134" s="96">
        <v>0</v>
      </c>
      <c r="P134" s="96">
        <v>0</v>
      </c>
      <c r="Q134" s="96">
        <v>0</v>
      </c>
      <c r="R134" s="96">
        <v>0</v>
      </c>
      <c r="S134" s="89">
        <f t="shared" si="226"/>
        <v>0</v>
      </c>
      <c r="T134" s="89">
        <f t="shared" si="226"/>
        <v>0</v>
      </c>
      <c r="U134" s="89">
        <f t="shared" si="226"/>
        <v>0</v>
      </c>
      <c r="V134" s="89">
        <f t="shared" si="226"/>
        <v>0</v>
      </c>
      <c r="W134" s="96">
        <f>SUM(K134:V134)</f>
        <v>0</v>
      </c>
      <c r="X134" s="96"/>
      <c r="Y134" s="96"/>
      <c r="Z134" s="96"/>
      <c r="AA134" s="96"/>
      <c r="AB134" s="96"/>
      <c r="AC134" s="96" cm="1">
        <f t="array" ref="AC134">IF(AC$8="",0,_xll.GetData(AC$8,$AQ134))</f>
        <v>0</v>
      </c>
      <c r="AD134" s="96" cm="1">
        <f t="array" ref="AD134">IF(AD$8="",0,_xll.GetData(AD$8,$AQ134))</f>
        <v>0</v>
      </c>
      <c r="AE134" s="96" cm="1">
        <f t="array" ref="AE134">IF(AE$8="",0,_xll.GetData(AE$8,$AQ134))</f>
        <v>0</v>
      </c>
      <c r="AF134" s="96" cm="1">
        <f t="array" ref="AF134">IF(AF$8="",0,_xll.GetData(AF$8,$AQ134))</f>
        <v>0</v>
      </c>
      <c r="AG134" s="96" cm="1">
        <f t="array" ref="AG134">IF(AG$8="",0,_xll.GetData(AG$8,$AQ134))</f>
        <v>0</v>
      </c>
      <c r="AH134" s="96" cm="1">
        <f t="array" ref="AH134">IF(AH$8="",0,_xll.GetData(AH$8,$AQ134))</f>
        <v>0</v>
      </c>
      <c r="AI134" s="96" cm="1">
        <f t="array" ref="AI134">IF(AI$8="",0,_xll.GetData(AI$8,$AQ134))</f>
        <v>0</v>
      </c>
      <c r="AJ134" s="96" cm="1">
        <f t="array" ref="AJ134">IF(AJ$8="",0,_xll.GetData(AJ$8,$AQ134))</f>
        <v>0</v>
      </c>
      <c r="AK134" s="96" cm="1">
        <f t="array" ref="AK134">IF(AK$8="",0,_xll.GetData(AK$8,$AQ134))</f>
        <v>0</v>
      </c>
      <c r="AL134" s="96" cm="1">
        <f t="array" ref="AL134">IF(AL$8="",0,_xll.GetData(AL$8,$AQ134))</f>
        <v>0</v>
      </c>
      <c r="AM134" s="96" cm="1">
        <f t="array" ref="AM134">IF(AM$8="",0,_xll.GetData(AM$8,$AQ134))</f>
        <v>0</v>
      </c>
      <c r="AN134" s="96" cm="1">
        <f t="array" ref="AN134">IF(AN$8="",0,_xll.GetData(AN$8,$AQ134))</f>
        <v>0</v>
      </c>
      <c r="AO134" s="69"/>
      <c r="AP134" s="111">
        <f>AP135</f>
        <v>42</v>
      </c>
      <c r="AQ134" s="111" t="str">
        <f>"Dept="&amp;AU134&amp;" And Acct="&amp;AV134</f>
        <v>Dept=0 And Acct=60200</v>
      </c>
      <c r="AR134" s="167"/>
      <c r="AS134" s="167" t="str">
        <f>IF(OR(AU134=0,AV134=0),"NoSave","[Save]")</f>
        <v>NoSave</v>
      </c>
      <c r="AT134" s="167"/>
      <c r="AU134" s="111">
        <f>AU135</f>
        <v>0</v>
      </c>
      <c r="AV134" s="111">
        <f>AV135</f>
        <v>60200</v>
      </c>
      <c r="AW134" s="111">
        <v>1</v>
      </c>
      <c r="AX134" s="281">
        <f>IF(K$20="CYA",0,K134)</f>
        <v>0</v>
      </c>
      <c r="AY134" s="281">
        <f t="shared" si="227"/>
        <v>0</v>
      </c>
      <c r="AZ134" s="281">
        <f t="shared" si="228"/>
        <v>0</v>
      </c>
      <c r="BA134" s="281">
        <f t="shared" si="229"/>
        <v>0</v>
      </c>
      <c r="BB134" s="281">
        <f t="shared" si="230"/>
        <v>0</v>
      </c>
      <c r="BC134" s="281">
        <f t="shared" si="231"/>
        <v>0</v>
      </c>
      <c r="BD134" s="281">
        <f t="shared" si="232"/>
        <v>0</v>
      </c>
      <c r="BE134" s="281">
        <f t="shared" si="233"/>
        <v>0</v>
      </c>
      <c r="BF134" s="281">
        <f t="shared" si="234"/>
        <v>0</v>
      </c>
      <c r="BG134" s="281">
        <f t="shared" si="235"/>
        <v>0</v>
      </c>
      <c r="BH134" s="281">
        <f t="shared" si="236"/>
        <v>0</v>
      </c>
      <c r="BI134" s="281">
        <f t="shared" si="237"/>
        <v>0</v>
      </c>
      <c r="BJ134" s="89">
        <f>CB134</f>
        <v>0</v>
      </c>
      <c r="BK134" s="96">
        <v>0</v>
      </c>
    </row>
    <row r="135" spans="1:63" s="55" customFormat="1" ht="17.399999999999999" thickTop="1">
      <c r="A135" s="105"/>
      <c r="B135" s="114" t="str">
        <f>C132</f>
        <v>E_SalariesPhy</v>
      </c>
      <c r="C135" s="112" t="s">
        <v>278</v>
      </c>
      <c r="D135" s="110"/>
      <c r="E135" s="112"/>
      <c r="F135" s="74"/>
      <c r="G135" s="100" t="str">
        <f>"   Total "&amp;G132</f>
        <v xml:space="preserve">   Total Salaries &amp; Wages - Physician</v>
      </c>
      <c r="H135" s="100"/>
      <c r="I135" s="100"/>
      <c r="J135" s="116"/>
      <c r="K135" s="116">
        <f>IF(K$20="CYA",K132,K132*(1+K133)+K134)</f>
        <v>0</v>
      </c>
      <c r="L135" s="116">
        <f>IF(L$20="CYA",L132,L132*(1+L133)+L134)</f>
        <v>0</v>
      </c>
      <c r="M135" s="116">
        <f>IF(M$20="CYA",M132,M132*(1+M133)+M134)</f>
        <v>0</v>
      </c>
      <c r="N135" s="116">
        <f>IF(N$20="CYA",N132,N132*(1+N133)+N134)</f>
        <v>0</v>
      </c>
      <c r="O135" s="116">
        <f>IF(O$20="CYA",O132,O132*(1+O133)+O134)</f>
        <v>0</v>
      </c>
      <c r="P135" s="116">
        <f>IF(P$20="CYA",P132,P132*(1+P133)+P134)</f>
        <v>0</v>
      </c>
      <c r="Q135" s="116">
        <f>IF(Q$20="CYA",Q132,Q132*(1+Q133)+Q134)</f>
        <v>0</v>
      </c>
      <c r="R135" s="116">
        <f>IF(R$20="CYA",R132,R132*(1+R133)+R134)</f>
        <v>0</v>
      </c>
      <c r="S135" s="116">
        <f>IF(S$20="CYA",S132,S132*(1+S133)+S134)</f>
        <v>0</v>
      </c>
      <c r="T135" s="116">
        <f>IF(T$20="CYA",T132,T132*(1+T133)+T134)</f>
        <v>0</v>
      </c>
      <c r="U135" s="116">
        <f>IF(U$20="CYA",U132,U132*(1+U133)+U134)</f>
        <v>0</v>
      </c>
      <c r="V135" s="116">
        <f>IF(V$20="CYA",V132,V132*(1+V133)+V134)</f>
        <v>0</v>
      </c>
      <c r="W135" s="116">
        <f>SUM(K135:V135)</f>
        <v>0</v>
      </c>
      <c r="X135" s="116"/>
      <c r="Y135" s="116">
        <f>SUM(Y132:Y134)</f>
        <v>0</v>
      </c>
      <c r="Z135" s="116">
        <f>Y135-W135</f>
        <v>0</v>
      </c>
      <c r="AA135" s="102">
        <f>IF(Y135=0,0,Z135/Y135)</f>
        <v>0</v>
      </c>
      <c r="AB135" s="116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67"/>
      <c r="AP135" s="111">
        <f>ROW(Control!D42)</f>
        <v>42</v>
      </c>
      <c r="AQ135" s="111"/>
      <c r="AR135" s="167"/>
      <c r="AS135" s="167"/>
      <c r="AT135" s="167" t="str">
        <f>IF(OR(AU135=0,AV135=0),"NoSave","[Save]")</f>
        <v>NoSave</v>
      </c>
      <c r="AU135" s="111" cm="1">
        <f t="array" ref="AU135">INDEX(Control!G$1:G$9997,$AP135)</f>
        <v>0</v>
      </c>
      <c r="AV135" s="111" cm="1">
        <f t="array" ref="AV135">INDEX(Control!I$1:I$9997,$AP135)</f>
        <v>60200</v>
      </c>
      <c r="AW135" s="111">
        <v>1</v>
      </c>
      <c r="AX135" s="281">
        <f>IF(K$20="CYA",0,K135-K132)</f>
        <v>0</v>
      </c>
      <c r="AY135" s="281">
        <f t="shared" ref="AY135" si="238">IF(L$20="CYA",0,L135-L132)</f>
        <v>0</v>
      </c>
      <c r="AZ135" s="281">
        <f t="shared" ref="AZ135" si="239">IF(M$20="CYA",0,M135-M132)</f>
        <v>0</v>
      </c>
      <c r="BA135" s="281">
        <f t="shared" ref="BA135" si="240">IF(N$20="CYA",0,N135-N132)</f>
        <v>0</v>
      </c>
      <c r="BB135" s="281">
        <f t="shared" ref="BB135" si="241">IF(O$20="CYA",0,O135-O132)</f>
        <v>0</v>
      </c>
      <c r="BC135" s="281">
        <f t="shared" ref="BC135" si="242">IF(P$20="CYA",0,P135-P132)</f>
        <v>0</v>
      </c>
      <c r="BD135" s="281">
        <f t="shared" ref="BD135" si="243">IF(Q$20="CYA",0,Q135-Q132)</f>
        <v>0</v>
      </c>
      <c r="BE135" s="281">
        <f t="shared" ref="BE135" si="244">IF(R$20="CYA",0,R135-R132)</f>
        <v>0</v>
      </c>
      <c r="BF135" s="281">
        <f t="shared" ref="BF135" si="245">IF(S$20="CYA",0,S135-S132)</f>
        <v>0</v>
      </c>
      <c r="BG135" s="281">
        <f t="shared" ref="BG135" si="246">IF(T$20="CYA",0,T135-T132)</f>
        <v>0</v>
      </c>
      <c r="BH135" s="281">
        <f t="shared" ref="BH135" si="247">IF(U$20="CYA",0,U135-U132)</f>
        <v>0</v>
      </c>
      <c r="BI135" s="281">
        <f t="shared" ref="BI135" si="248">IF(V$20="CYA",0,V135-V132)</f>
        <v>0</v>
      </c>
    </row>
    <row r="136" spans="1:63" s="55" customFormat="1" ht="16.8">
      <c r="A136" s="105"/>
      <c r="B136" s="114"/>
      <c r="C136" s="112"/>
      <c r="D136" s="110"/>
      <c r="E136" s="112"/>
      <c r="F136" s="74"/>
      <c r="G136" s="100" t="s">
        <v>527</v>
      </c>
      <c r="H136" s="100"/>
      <c r="I136" s="100"/>
      <c r="J136" s="147"/>
      <c r="K136" s="149">
        <f>IF(K130=0,0,K135/K130)</f>
        <v>0</v>
      </c>
      <c r="L136" s="149">
        <f>IF(L130=0,0,L135/L130)</f>
        <v>0</v>
      </c>
      <c r="M136" s="149">
        <f>IF(M130=0,0,M135/M130)</f>
        <v>0</v>
      </c>
      <c r="N136" s="149">
        <f>IF(N130=0,0,N135/N130)</f>
        <v>0</v>
      </c>
      <c r="O136" s="149">
        <f>IF(O130=0,0,O135/O130)</f>
        <v>0</v>
      </c>
      <c r="P136" s="149">
        <f>IF(P130=0,0,P135/P130)</f>
        <v>0</v>
      </c>
      <c r="Q136" s="149">
        <f>IF(Q130=0,0,Q135/Q130)</f>
        <v>0</v>
      </c>
      <c r="R136" s="149">
        <f>IF(R130=0,0,R135/R130)</f>
        <v>0</v>
      </c>
      <c r="S136" s="149">
        <f>IF(S130=0,0,S135/S130)</f>
        <v>0</v>
      </c>
      <c r="T136" s="149">
        <f>IF(T130=0,0,T135/T130)</f>
        <v>0</v>
      </c>
      <c r="U136" s="149">
        <f>IF(U130=0,0,U135/U130)</f>
        <v>0</v>
      </c>
      <c r="V136" s="149">
        <f>IF(V130=0,0,V135/V130)</f>
        <v>0</v>
      </c>
      <c r="W136" s="149">
        <f>IF(W130=0,0,W135/W130)</f>
        <v>0</v>
      </c>
      <c r="X136" s="149"/>
      <c r="Y136" s="149">
        <f>IF(Y130=0,0,Y135/Y130)</f>
        <v>0</v>
      </c>
      <c r="Z136" s="147"/>
      <c r="AA136" s="102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67"/>
      <c r="AP136" s="111"/>
      <c r="AQ136" s="111"/>
      <c r="AR136" s="167"/>
      <c r="AS136" s="167"/>
      <c r="AT136" s="167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</row>
    <row r="137" spans="1:63" s="55" customFormat="1" ht="16.8">
      <c r="A137" s="105"/>
      <c r="B137" s="106"/>
      <c r="C137" s="112"/>
      <c r="D137" s="110"/>
      <c r="E137" s="112"/>
      <c r="F137" s="58"/>
      <c r="G137" s="95"/>
      <c r="H137" s="67"/>
      <c r="I137" s="67"/>
      <c r="J137" s="67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R137" s="167"/>
      <c r="AS137" s="167"/>
      <c r="AT137" s="167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</row>
    <row r="138" spans="1:63" s="55" customFormat="1" ht="17.399999999999999" thickBot="1">
      <c r="A138" s="105"/>
      <c r="B138" s="106"/>
      <c r="C138" s="112" t="s">
        <v>531</v>
      </c>
      <c r="D138" s="110"/>
      <c r="E138" s="112"/>
      <c r="F138" s="58"/>
      <c r="G138" s="95" t="s">
        <v>526</v>
      </c>
      <c r="H138" s="95"/>
      <c r="I138" s="95"/>
      <c r="J138" s="67"/>
      <c r="K138" s="96">
        <v>0</v>
      </c>
      <c r="L138" s="96">
        <v>0</v>
      </c>
      <c r="M138" s="96">
        <v>0</v>
      </c>
      <c r="N138" s="96">
        <v>0</v>
      </c>
      <c r="O138" s="96">
        <v>0</v>
      </c>
      <c r="P138" s="96">
        <v>0</v>
      </c>
      <c r="Q138" s="96">
        <v>0</v>
      </c>
      <c r="R138" s="96">
        <v>0</v>
      </c>
      <c r="S138" s="96">
        <v>0</v>
      </c>
      <c r="T138" s="96">
        <v>0</v>
      </c>
      <c r="U138" s="96">
        <v>0</v>
      </c>
      <c r="V138" s="96">
        <v>0</v>
      </c>
      <c r="W138" s="96">
        <f>SUM(W134:W137)</f>
        <v>0</v>
      </c>
      <c r="X138" s="96"/>
      <c r="Y138" s="96">
        <v>0</v>
      </c>
      <c r="Z138" s="96">
        <f t="shared" ref="Z138" si="249">Y138-W138</f>
        <v>0</v>
      </c>
      <c r="AA138" s="148">
        <f t="shared" ref="AA138" si="250">IF(Y138=0,0,Z138/Y138)</f>
        <v>0</v>
      </c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R138" s="167"/>
      <c r="AS138" s="167"/>
      <c r="AT138" s="167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</row>
    <row r="139" spans="1:63" s="55" customFormat="1" ht="18" thickTop="1" thickBot="1">
      <c r="A139" s="105"/>
      <c r="B139" s="106"/>
      <c r="C139" s="112" t="str">
        <f>"ACCT.FSDetail='"&amp;C138&amp;"'"</f>
        <v>ACCT.FSDetail='H_Mid'</v>
      </c>
      <c r="D139" s="110" t="s">
        <v>411</v>
      </c>
      <c r="E139" s="112"/>
      <c r="F139" s="58"/>
      <c r="G139" s="95" t="s">
        <v>328</v>
      </c>
      <c r="H139" s="95"/>
      <c r="I139" s="95"/>
      <c r="J139" s="49"/>
      <c r="K139" s="86">
        <v>0</v>
      </c>
      <c r="L139" s="86">
        <v>0</v>
      </c>
      <c r="M139" s="86">
        <v>0</v>
      </c>
      <c r="N139" s="86">
        <v>0</v>
      </c>
      <c r="O139" s="86">
        <v>0</v>
      </c>
      <c r="P139" s="86">
        <v>0</v>
      </c>
      <c r="Q139" s="86">
        <v>0</v>
      </c>
      <c r="R139" s="86">
        <v>0</v>
      </c>
      <c r="S139" s="90">
        <f t="shared" ref="S139:V140" si="251">AK139</f>
        <v>0</v>
      </c>
      <c r="T139" s="90">
        <f t="shared" si="251"/>
        <v>0</v>
      </c>
      <c r="U139" s="90">
        <f t="shared" si="251"/>
        <v>0</v>
      </c>
      <c r="V139" s="90">
        <f t="shared" si="251"/>
        <v>0</v>
      </c>
      <c r="W139" s="97">
        <f>IF(W141=0,0,1-(SUM(W140,W138)/W141))</f>
        <v>0</v>
      </c>
      <c r="X139" s="97"/>
      <c r="Y139" s="97"/>
      <c r="Z139" s="97"/>
      <c r="AA139" s="97"/>
      <c r="AB139" s="97"/>
      <c r="AC139" s="97" cm="1">
        <f t="array" ref="AC139">IF(AC$7="",0,_xll.GetData(AC$7,$AQ139))</f>
        <v>0</v>
      </c>
      <c r="AD139" s="97" cm="1">
        <f t="array" ref="AD139">IF(AD$7="",0,_xll.GetData(AD$7,$AQ139))</f>
        <v>0</v>
      </c>
      <c r="AE139" s="97" cm="1">
        <f t="array" ref="AE139">IF(AE$7="",0,_xll.GetData(AE$7,$AQ139))</f>
        <v>0</v>
      </c>
      <c r="AF139" s="97" cm="1">
        <f t="array" ref="AF139">IF(AF$7="",0,_xll.GetData(AF$7,$AQ139))</f>
        <v>0</v>
      </c>
      <c r="AG139" s="97" cm="1">
        <f t="array" ref="AG139">IF(AG$7="",0,_xll.GetData(AG$7,$AQ139))</f>
        <v>0</v>
      </c>
      <c r="AH139" s="97" cm="1">
        <f t="array" ref="AH139">IF(AH$7="",0,_xll.GetData(AH$7,$AQ139))</f>
        <v>0</v>
      </c>
      <c r="AI139" s="97" cm="1">
        <f t="array" ref="AI139">IF(AI$7="",0,_xll.GetData(AI$7,$AQ139))</f>
        <v>0</v>
      </c>
      <c r="AJ139" s="97" cm="1">
        <f t="array" ref="AJ139">IF(AJ$7="",0,_xll.GetData(AJ$7,$AQ139))</f>
        <v>0</v>
      </c>
      <c r="AK139" s="97" cm="1">
        <f t="array" ref="AK139">IF(AK$7="",0,_xll.GetData(AK$7,$AQ139))</f>
        <v>0</v>
      </c>
      <c r="AL139" s="97" cm="1">
        <f t="array" ref="AL139">IF(AL$7="",0,_xll.GetData(AL$7,$AQ139))</f>
        <v>0</v>
      </c>
      <c r="AM139" s="97" cm="1">
        <f t="array" ref="AM139">IF(AM$7="",0,_xll.GetData(AM$7,$AQ139))</f>
        <v>0</v>
      </c>
      <c r="AN139" s="97" cm="1">
        <f t="array" ref="AN139">IF(AN$7="",0,_xll.GetData(AN$7,$AQ139))</f>
        <v>0</v>
      </c>
      <c r="AO139" s="49"/>
      <c r="AP139" s="111">
        <f>AP141</f>
        <v>37</v>
      </c>
      <c r="AQ139" s="111" t="str">
        <f>"Dept="&amp;AU139&amp;" And Acct="&amp;AV139</f>
        <v>Dept=0 And Acct=960300</v>
      </c>
      <c r="AR139" s="167" t="str">
        <f>IF(OR(AU139=0,AV139=0),"NoSave","[Save]")</f>
        <v>NoSave</v>
      </c>
      <c r="AS139" s="167"/>
      <c r="AT139" s="167"/>
      <c r="AU139" s="111">
        <f>AU141</f>
        <v>0</v>
      </c>
      <c r="AV139" s="111">
        <f>AV141</f>
        <v>960300</v>
      </c>
      <c r="AW139" s="111">
        <v>1</v>
      </c>
      <c r="AX139" s="280">
        <f>IF(K$20="CYA",0,K139)</f>
        <v>0</v>
      </c>
      <c r="AY139" s="280">
        <f t="shared" ref="AY139:AY140" si="252">IF(L$20="CYA",0,L139)</f>
        <v>0</v>
      </c>
      <c r="AZ139" s="280">
        <f t="shared" ref="AZ139:AZ140" si="253">IF(M$20="CYA",0,M139)</f>
        <v>0</v>
      </c>
      <c r="BA139" s="280">
        <f t="shared" ref="BA139:BA140" si="254">IF(N$20="CYA",0,N139)</f>
        <v>0</v>
      </c>
      <c r="BB139" s="280">
        <f t="shared" ref="BB139:BB140" si="255">IF(O$20="CYA",0,O139)</f>
        <v>0</v>
      </c>
      <c r="BC139" s="280">
        <f t="shared" ref="BC139:BC140" si="256">IF(P$20="CYA",0,P139)</f>
        <v>0</v>
      </c>
      <c r="BD139" s="280">
        <f t="shared" ref="BD139:BD140" si="257">IF(Q$20="CYA",0,Q139)</f>
        <v>0</v>
      </c>
      <c r="BE139" s="280">
        <f t="shared" ref="BE139:BE140" si="258">IF(R$20="CYA",0,R139)</f>
        <v>0</v>
      </c>
      <c r="BF139" s="280">
        <f t="shared" ref="BF139:BF140" si="259">IF(S$20="CYA",0,S139)</f>
        <v>0</v>
      </c>
      <c r="BG139" s="280">
        <f t="shared" ref="BG139:BG140" si="260">IF(T$20="CYA",0,T139)</f>
        <v>0</v>
      </c>
      <c r="BH139" s="280">
        <f t="shared" ref="BH139:BH140" si="261">IF(U$20="CYA",0,U139)</f>
        <v>0</v>
      </c>
      <c r="BI139" s="280">
        <f t="shared" ref="BI139:BI140" si="262">IF(V$20="CYA",0,V139)</f>
        <v>0</v>
      </c>
      <c r="BJ139" s="90">
        <f>CB139</f>
        <v>0</v>
      </c>
      <c r="BK139" s="86">
        <v>0</v>
      </c>
    </row>
    <row r="140" spans="1:63" s="55" customFormat="1" ht="18" thickTop="1" thickBot="1">
      <c r="A140" s="113"/>
      <c r="B140" s="106"/>
      <c r="C140" s="112" t="str">
        <f>C139</f>
        <v>ACCT.FSDetail='H_Mid'</v>
      </c>
      <c r="D140" s="110" t="s">
        <v>411</v>
      </c>
      <c r="E140" s="112"/>
      <c r="F140" s="58"/>
      <c r="G140" s="95" t="s">
        <v>329</v>
      </c>
      <c r="H140" s="95"/>
      <c r="I140" s="95"/>
      <c r="J140" s="67"/>
      <c r="K140" s="96">
        <v>0</v>
      </c>
      <c r="L140" s="96">
        <v>0</v>
      </c>
      <c r="M140" s="96">
        <v>0</v>
      </c>
      <c r="N140" s="96">
        <v>0</v>
      </c>
      <c r="O140" s="96">
        <v>0</v>
      </c>
      <c r="P140" s="96">
        <v>0</v>
      </c>
      <c r="Q140" s="96">
        <v>0</v>
      </c>
      <c r="R140" s="96">
        <v>0</v>
      </c>
      <c r="S140" s="89">
        <f t="shared" si="251"/>
        <v>0</v>
      </c>
      <c r="T140" s="89">
        <f t="shared" si="251"/>
        <v>0</v>
      </c>
      <c r="U140" s="89">
        <f t="shared" si="251"/>
        <v>0</v>
      </c>
      <c r="V140" s="89">
        <f t="shared" si="251"/>
        <v>0</v>
      </c>
      <c r="W140" s="96">
        <f>SUM(K140:V140)</f>
        <v>0</v>
      </c>
      <c r="X140" s="96"/>
      <c r="Y140" s="96"/>
      <c r="Z140" s="96"/>
      <c r="AA140" s="96"/>
      <c r="AB140" s="96"/>
      <c r="AC140" s="96" cm="1">
        <f t="array" ref="AC140">IF(AC$8="",0,_xll.GetData(AC$8,$AQ140))</f>
        <v>0</v>
      </c>
      <c r="AD140" s="96" cm="1">
        <f t="array" ref="AD140">IF(AD$8="",0,_xll.GetData(AD$8,$AQ140))</f>
        <v>0</v>
      </c>
      <c r="AE140" s="96" cm="1">
        <f t="array" ref="AE140">IF(AE$8="",0,_xll.GetData(AE$8,$AQ140))</f>
        <v>0</v>
      </c>
      <c r="AF140" s="96" cm="1">
        <f t="array" ref="AF140">IF(AF$8="",0,_xll.GetData(AF$8,$AQ140))</f>
        <v>0</v>
      </c>
      <c r="AG140" s="96" cm="1">
        <f t="array" ref="AG140">IF(AG$8="",0,_xll.GetData(AG$8,$AQ140))</f>
        <v>0</v>
      </c>
      <c r="AH140" s="96" cm="1">
        <f t="array" ref="AH140">IF(AH$8="",0,_xll.GetData(AH$8,$AQ140))</f>
        <v>0</v>
      </c>
      <c r="AI140" s="96" cm="1">
        <f t="array" ref="AI140">IF(AI$8="",0,_xll.GetData(AI$8,$AQ140))</f>
        <v>0</v>
      </c>
      <c r="AJ140" s="96" cm="1">
        <f t="array" ref="AJ140">IF(AJ$8="",0,_xll.GetData(AJ$8,$AQ140))</f>
        <v>0</v>
      </c>
      <c r="AK140" s="96" cm="1">
        <f t="array" ref="AK140">IF(AK$8="",0,_xll.GetData(AK$8,$AQ140))</f>
        <v>0</v>
      </c>
      <c r="AL140" s="96" cm="1">
        <f t="array" ref="AL140">IF(AL$8="",0,_xll.GetData(AL$8,$AQ140))</f>
        <v>0</v>
      </c>
      <c r="AM140" s="96" cm="1">
        <f t="array" ref="AM140">IF(AM$8="",0,_xll.GetData(AM$8,$AQ140))</f>
        <v>0</v>
      </c>
      <c r="AN140" s="96" cm="1">
        <f t="array" ref="AN140">IF(AN$8="",0,_xll.GetData(AN$8,$AQ140))</f>
        <v>0</v>
      </c>
      <c r="AO140" s="69"/>
      <c r="AP140" s="111">
        <f>AP141</f>
        <v>37</v>
      </c>
      <c r="AQ140" s="111" t="str">
        <f>"Dept="&amp;AU140&amp;" And Acct="&amp;AV140</f>
        <v>Dept=0 And Acct=960300</v>
      </c>
      <c r="AR140" s="167"/>
      <c r="AS140" s="167" t="str">
        <f>IF(OR(AU140=0,AV140=0),"NoSave","[Save]")</f>
        <v>NoSave</v>
      </c>
      <c r="AT140" s="167"/>
      <c r="AU140" s="111">
        <f>AU141</f>
        <v>0</v>
      </c>
      <c r="AV140" s="111">
        <f>AV141</f>
        <v>960300</v>
      </c>
      <c r="AW140" s="111">
        <v>1</v>
      </c>
      <c r="AX140" s="281">
        <f>IF(K$20="CYA",0,K140)</f>
        <v>0</v>
      </c>
      <c r="AY140" s="281">
        <f t="shared" si="252"/>
        <v>0</v>
      </c>
      <c r="AZ140" s="281">
        <f t="shared" si="253"/>
        <v>0</v>
      </c>
      <c r="BA140" s="281">
        <f t="shared" si="254"/>
        <v>0</v>
      </c>
      <c r="BB140" s="281">
        <f t="shared" si="255"/>
        <v>0</v>
      </c>
      <c r="BC140" s="281">
        <f t="shared" si="256"/>
        <v>0</v>
      </c>
      <c r="BD140" s="281">
        <f t="shared" si="257"/>
        <v>0</v>
      </c>
      <c r="BE140" s="281">
        <f t="shared" si="258"/>
        <v>0</v>
      </c>
      <c r="BF140" s="281">
        <f t="shared" si="259"/>
        <v>0</v>
      </c>
      <c r="BG140" s="281">
        <f t="shared" si="260"/>
        <v>0</v>
      </c>
      <c r="BH140" s="281">
        <f t="shared" si="261"/>
        <v>0</v>
      </c>
      <c r="BI140" s="281">
        <f t="shared" si="262"/>
        <v>0</v>
      </c>
      <c r="BJ140" s="89">
        <f>CB140</f>
        <v>0</v>
      </c>
      <c r="BK140" s="96">
        <v>0</v>
      </c>
    </row>
    <row r="141" spans="1:63" s="55" customFormat="1" ht="17.399999999999999" thickTop="1">
      <c r="A141" s="105"/>
      <c r="B141" s="114"/>
      <c r="C141" s="112"/>
      <c r="D141" s="110"/>
      <c r="E141" s="112"/>
      <c r="F141" s="74"/>
      <c r="G141" s="100" t="str">
        <f>"   Total "&amp;G138</f>
        <v xml:space="preserve">   Total Total Paid Hours - Advanced Practice</v>
      </c>
      <c r="H141" s="100"/>
      <c r="I141" s="100"/>
      <c r="J141" s="116"/>
      <c r="K141" s="116">
        <f>IF(K$20="CYA",K138,K138*(1+K139)+K140)</f>
        <v>0</v>
      </c>
      <c r="L141" s="116">
        <f>IF(L$20="CYA",L138,L138*(1+L139)+L140)</f>
        <v>0</v>
      </c>
      <c r="M141" s="116">
        <f>IF(M$20="CYA",M138,M138*(1+M139)+M140)</f>
        <v>0</v>
      </c>
      <c r="N141" s="116">
        <f>IF(N$20="CYA",N138,N138*(1+N139)+N140)</f>
        <v>0</v>
      </c>
      <c r="O141" s="116">
        <f>IF(O$20="CYA",O138,O138*(1+O139)+O140)</f>
        <v>0</v>
      </c>
      <c r="P141" s="116">
        <f>IF(P$20="CYA",P138,P138*(1+P139)+P140)</f>
        <v>0</v>
      </c>
      <c r="Q141" s="116">
        <f>IF(Q$20="CYA",Q138,Q138*(1+Q139)+Q140)</f>
        <v>0</v>
      </c>
      <c r="R141" s="116">
        <f>IF(R$20="CYA",R138,R138*(1+R139)+R140)</f>
        <v>0</v>
      </c>
      <c r="S141" s="116">
        <f>IF(S$20="CYA",S138,S138*(1+S139)+S140)</f>
        <v>0</v>
      </c>
      <c r="T141" s="116">
        <f>IF(T$20="CYA",T138,T138*(1+T139)+T140)</f>
        <v>0</v>
      </c>
      <c r="U141" s="116">
        <f>IF(U$20="CYA",U138,U138*(1+U139)+U140)</f>
        <v>0</v>
      </c>
      <c r="V141" s="116">
        <f>IF(V$20="CYA",V138,V138*(1+V139)+V140)</f>
        <v>0</v>
      </c>
      <c r="W141" s="116">
        <f>SUM(K141:V141)</f>
        <v>0</v>
      </c>
      <c r="X141" s="116"/>
      <c r="Y141" s="116">
        <f>SUM(Y138:Y140)</f>
        <v>0</v>
      </c>
      <c r="Z141" s="116">
        <f>Y141-W141</f>
        <v>0</v>
      </c>
      <c r="AA141" s="102">
        <f>IF(Y141=0,0,Z141/Y141)</f>
        <v>0</v>
      </c>
      <c r="AB141" s="116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67"/>
      <c r="AP141" s="111">
        <f>ROW(Control!D37)</f>
        <v>37</v>
      </c>
      <c r="AQ141" s="111"/>
      <c r="AR141" s="167"/>
      <c r="AS141" s="167"/>
      <c r="AT141" s="167" t="str">
        <f>IF(OR(AU141=0,AV141=0),"NoSave","[Save]")</f>
        <v>NoSave</v>
      </c>
      <c r="AU141" s="111" cm="1">
        <f t="array" ref="AU141">INDEX(Control!G$1:G$9997,$AP141)</f>
        <v>0</v>
      </c>
      <c r="AV141" s="111" cm="1">
        <f t="array" ref="AV141">INDEX(Control!I$1:I$9997,$AP141)</f>
        <v>960300</v>
      </c>
      <c r="AW141" s="111">
        <v>1</v>
      </c>
      <c r="AX141" s="281">
        <f>IF(K$20="CYA",0,K141-K138)</f>
        <v>0</v>
      </c>
      <c r="AY141" s="281">
        <f t="shared" ref="AY141" si="263">IF(L$20="CYA",0,L141-L138)</f>
        <v>0</v>
      </c>
      <c r="AZ141" s="281">
        <f t="shared" ref="AZ141" si="264">IF(M$20="CYA",0,M141-M138)</f>
        <v>0</v>
      </c>
      <c r="BA141" s="281">
        <f t="shared" ref="BA141" si="265">IF(N$20="CYA",0,N141-N138)</f>
        <v>0</v>
      </c>
      <c r="BB141" s="281">
        <f t="shared" ref="BB141" si="266">IF(O$20="CYA",0,O141-O138)</f>
        <v>0</v>
      </c>
      <c r="BC141" s="281">
        <f t="shared" ref="BC141" si="267">IF(P$20="CYA",0,P141-P138)</f>
        <v>0</v>
      </c>
      <c r="BD141" s="281">
        <f t="shared" ref="BD141" si="268">IF(Q$20="CYA",0,Q141-Q138)</f>
        <v>0</v>
      </c>
      <c r="BE141" s="281">
        <f t="shared" ref="BE141" si="269">IF(R$20="CYA",0,R141-R138)</f>
        <v>0</v>
      </c>
      <c r="BF141" s="281">
        <f t="shared" ref="BF141" si="270">IF(S$20="CYA",0,S141-S138)</f>
        <v>0</v>
      </c>
      <c r="BG141" s="281">
        <f t="shared" ref="BG141" si="271">IF(T$20="CYA",0,T141-T138)</f>
        <v>0</v>
      </c>
      <c r="BH141" s="281">
        <f t="shared" ref="BH141" si="272">IF(U$20="CYA",0,U141-U138)</f>
        <v>0</v>
      </c>
      <c r="BI141" s="281">
        <f t="shared" ref="BI141" si="273">IF(V$20="CYA",0,V141-V138)</f>
        <v>0</v>
      </c>
    </row>
    <row r="142" spans="1:63" s="55" customFormat="1" ht="16.8">
      <c r="A142" s="105"/>
      <c r="B142" s="106"/>
      <c r="C142" s="112"/>
      <c r="D142" s="110"/>
      <c r="E142" s="112"/>
      <c r="F142" s="74"/>
      <c r="G142" s="100" t="s">
        <v>294</v>
      </c>
      <c r="H142" s="100"/>
      <c r="I142" s="100"/>
      <c r="J142" s="116"/>
      <c r="K142" s="151">
        <f>IF(K46=0,0,K141/K46)</f>
        <v>0</v>
      </c>
      <c r="L142" s="151">
        <f>IF(L46=0,0,L141/L46)</f>
        <v>0</v>
      </c>
      <c r="M142" s="151">
        <f>IF(M46=0,0,M141/M46)</f>
        <v>0</v>
      </c>
      <c r="N142" s="151">
        <f>IF(N46=0,0,N141/N46)</f>
        <v>0</v>
      </c>
      <c r="O142" s="151">
        <f>IF(O46=0,0,O141/O46)</f>
        <v>0</v>
      </c>
      <c r="P142" s="151">
        <f>IF(P46=0,0,P141/P46)</f>
        <v>0</v>
      </c>
      <c r="Q142" s="151">
        <f>IF(Q46=0,0,Q141/Q46)</f>
        <v>0</v>
      </c>
      <c r="R142" s="151">
        <f>IF(R46=0,0,R141/R46)</f>
        <v>0</v>
      </c>
      <c r="S142" s="151">
        <f>IF(S46=0,0,S141/S46)</f>
        <v>0</v>
      </c>
      <c r="T142" s="151">
        <f>IF(T46=0,0,T141/T46)</f>
        <v>0</v>
      </c>
      <c r="U142" s="151">
        <f>IF(U46=0,0,U141/U46)</f>
        <v>0</v>
      </c>
      <c r="V142" s="151">
        <f>IF(V46=0,0,V141/V46)</f>
        <v>0</v>
      </c>
      <c r="W142" s="152">
        <f>IF(W46=0,0,W141/W46)</f>
        <v>0</v>
      </c>
      <c r="X142" s="152"/>
      <c r="Y142" s="152">
        <f>IF(Y46=0,0,Y141/Y46)</f>
        <v>0</v>
      </c>
      <c r="Z142" s="116">
        <f>IF(Z46=0,0,Z141/Z46)</f>
        <v>0</v>
      </c>
      <c r="AA142" s="102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78"/>
      <c r="AP142" s="111"/>
      <c r="AQ142" s="111"/>
      <c r="AR142" s="167"/>
      <c r="AS142" s="167"/>
      <c r="AT142" s="167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</row>
    <row r="143" spans="1:63" s="55" customFormat="1" ht="17.399999999999999" thickBot="1">
      <c r="A143" s="105" t="str">
        <f>C143</f>
        <v>E_SalariesMid</v>
      </c>
      <c r="B143" s="106"/>
      <c r="C143" s="112" t="s">
        <v>522</v>
      </c>
      <c r="D143" s="110"/>
      <c r="E143" s="112"/>
      <c r="F143" s="58"/>
      <c r="G143" s="95" t="s">
        <v>520</v>
      </c>
      <c r="H143" s="67"/>
      <c r="I143" s="67"/>
      <c r="J143" s="67"/>
      <c r="K143" s="96">
        <v>0</v>
      </c>
      <c r="L143" s="96">
        <v>0</v>
      </c>
      <c r="M143" s="96">
        <v>0</v>
      </c>
      <c r="N143" s="96">
        <v>0</v>
      </c>
      <c r="O143" s="96">
        <v>0</v>
      </c>
      <c r="P143" s="96">
        <v>0</v>
      </c>
      <c r="Q143" s="96">
        <v>0</v>
      </c>
      <c r="R143" s="96">
        <v>0</v>
      </c>
      <c r="S143" s="96">
        <v>0</v>
      </c>
      <c r="T143" s="96">
        <v>0</v>
      </c>
      <c r="U143" s="96">
        <v>0</v>
      </c>
      <c r="V143" s="96">
        <v>0</v>
      </c>
      <c r="W143" s="96">
        <f>SUM(K143:V143)</f>
        <v>0</v>
      </c>
      <c r="X143" s="96"/>
      <c r="Y143" s="96">
        <v>0</v>
      </c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R143" s="167"/>
      <c r="AS143" s="167"/>
      <c r="AT143" s="167"/>
      <c r="AU143" s="111"/>
      <c r="AV143" s="111"/>
      <c r="AW143" s="111">
        <v>1</v>
      </c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</row>
    <row r="144" spans="1:63" s="55" customFormat="1" ht="18" thickTop="1" thickBot="1">
      <c r="A144" s="105"/>
      <c r="B144" s="106"/>
      <c r="C144" s="112" t="str">
        <f>"ACCT.FSDetail='"&amp;C143&amp;"'"</f>
        <v>ACCT.FSDetail='E_SalariesMid'</v>
      </c>
      <c r="D144" s="110" t="s">
        <v>411</v>
      </c>
      <c r="E144" s="112"/>
      <c r="F144" s="58"/>
      <c r="G144" s="95" t="s">
        <v>328</v>
      </c>
      <c r="H144" s="58"/>
      <c r="I144" s="49"/>
      <c r="J144" s="49"/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90">
        <f t="shared" ref="S144:V145" si="274">AK144</f>
        <v>0</v>
      </c>
      <c r="T144" s="90">
        <f t="shared" si="274"/>
        <v>0</v>
      </c>
      <c r="U144" s="90">
        <f t="shared" si="274"/>
        <v>0</v>
      </c>
      <c r="V144" s="90">
        <f t="shared" si="274"/>
        <v>0</v>
      </c>
      <c r="W144" s="97">
        <f>IF(W146=0,0,1-(SUM(W145,W143)/W146))</f>
        <v>0</v>
      </c>
      <c r="X144" s="97"/>
      <c r="Y144" s="97"/>
      <c r="Z144" s="97"/>
      <c r="AA144" s="97"/>
      <c r="AB144" s="97"/>
      <c r="AC144" s="97" cm="1">
        <f t="array" ref="AC144">IF(AC$7="",0,_xll.GetData(AC$7,$AQ144))</f>
        <v>0</v>
      </c>
      <c r="AD144" s="97" cm="1">
        <f t="array" ref="AD144">IF(AD$7="",0,_xll.GetData(AD$7,$AQ144))</f>
        <v>0</v>
      </c>
      <c r="AE144" s="97" cm="1">
        <f t="array" ref="AE144">IF(AE$7="",0,_xll.GetData(AE$7,$AQ144))</f>
        <v>0</v>
      </c>
      <c r="AF144" s="97" cm="1">
        <f t="array" ref="AF144">IF(AF$7="",0,_xll.GetData(AF$7,$AQ144))</f>
        <v>0</v>
      </c>
      <c r="AG144" s="97" cm="1">
        <f t="array" ref="AG144">IF(AG$7="",0,_xll.GetData(AG$7,$AQ144))</f>
        <v>0</v>
      </c>
      <c r="AH144" s="97" cm="1">
        <f t="array" ref="AH144">IF(AH$7="",0,_xll.GetData(AH$7,$AQ144))</f>
        <v>0</v>
      </c>
      <c r="AI144" s="97" cm="1">
        <f t="array" ref="AI144">IF(AI$7="",0,_xll.GetData(AI$7,$AQ144))</f>
        <v>0</v>
      </c>
      <c r="AJ144" s="97" cm="1">
        <f t="array" ref="AJ144">IF(AJ$7="",0,_xll.GetData(AJ$7,$AQ144))</f>
        <v>0</v>
      </c>
      <c r="AK144" s="97" cm="1">
        <f t="array" ref="AK144">IF(AK$7="",0,_xll.GetData(AK$7,$AQ144))</f>
        <v>0</v>
      </c>
      <c r="AL144" s="97" cm="1">
        <f t="array" ref="AL144">IF(AL$7="",0,_xll.GetData(AL$7,$AQ144))</f>
        <v>0</v>
      </c>
      <c r="AM144" s="97" cm="1">
        <f t="array" ref="AM144">IF(AM$7="",0,_xll.GetData(AM$7,$AQ144))</f>
        <v>0</v>
      </c>
      <c r="AN144" s="97" cm="1">
        <f t="array" ref="AN144">IF(AN$7="",0,_xll.GetData(AN$7,$AQ144))</f>
        <v>0</v>
      </c>
      <c r="AO144" s="49"/>
      <c r="AP144" s="111">
        <f>AP146</f>
        <v>43</v>
      </c>
      <c r="AQ144" s="111" t="str">
        <f>"Dept="&amp;AU144&amp;" And Acct="&amp;AV144</f>
        <v>Dept=0 And Acct=60300</v>
      </c>
      <c r="AR144" s="167" t="str">
        <f>IF(OR(AU144=0,AV144=0),"NoSave","[Save]")</f>
        <v>NoSave</v>
      </c>
      <c r="AS144" s="167"/>
      <c r="AT144" s="167"/>
      <c r="AU144" s="111">
        <f>AU146</f>
        <v>0</v>
      </c>
      <c r="AV144" s="111">
        <f>AV146</f>
        <v>60300</v>
      </c>
      <c r="AW144" s="111">
        <v>1</v>
      </c>
      <c r="AX144" s="280">
        <f>IF(K$20="CYA",0,K144)</f>
        <v>0</v>
      </c>
      <c r="AY144" s="280">
        <f t="shared" ref="AY144:AY145" si="275">IF(L$20="CYA",0,L144)</f>
        <v>0</v>
      </c>
      <c r="AZ144" s="280">
        <f t="shared" ref="AZ144:AZ145" si="276">IF(M$20="CYA",0,M144)</f>
        <v>0</v>
      </c>
      <c r="BA144" s="280">
        <f t="shared" ref="BA144:BA145" si="277">IF(N$20="CYA",0,N144)</f>
        <v>0</v>
      </c>
      <c r="BB144" s="280">
        <f t="shared" ref="BB144:BB145" si="278">IF(O$20="CYA",0,O144)</f>
        <v>0</v>
      </c>
      <c r="BC144" s="280">
        <f t="shared" ref="BC144:BC145" si="279">IF(P$20="CYA",0,P144)</f>
        <v>0</v>
      </c>
      <c r="BD144" s="280">
        <f t="shared" ref="BD144:BD145" si="280">IF(Q$20="CYA",0,Q144)</f>
        <v>0</v>
      </c>
      <c r="BE144" s="280">
        <f t="shared" ref="BE144:BE145" si="281">IF(R$20="CYA",0,R144)</f>
        <v>0</v>
      </c>
      <c r="BF144" s="280">
        <f t="shared" ref="BF144:BF145" si="282">IF(S$20="CYA",0,S144)</f>
        <v>0</v>
      </c>
      <c r="BG144" s="280">
        <f t="shared" ref="BG144:BG145" si="283">IF(T$20="CYA",0,T144)</f>
        <v>0</v>
      </c>
      <c r="BH144" s="280">
        <f t="shared" ref="BH144:BH145" si="284">IF(U$20="CYA",0,U144)</f>
        <v>0</v>
      </c>
      <c r="BI144" s="280">
        <f t="shared" ref="BI144:BI145" si="285">IF(V$20="CYA",0,V144)</f>
        <v>0</v>
      </c>
      <c r="BJ144" s="90">
        <f>CB144</f>
        <v>0</v>
      </c>
      <c r="BK144" s="86">
        <v>0</v>
      </c>
    </row>
    <row r="145" spans="1:63" s="55" customFormat="1" ht="18" thickTop="1" thickBot="1">
      <c r="A145" s="113"/>
      <c r="B145" s="106"/>
      <c r="C145" s="112" t="str">
        <f>C144</f>
        <v>ACCT.FSDetail='E_SalariesMid'</v>
      </c>
      <c r="D145" s="110" t="s">
        <v>411</v>
      </c>
      <c r="E145" s="112"/>
      <c r="F145" s="58"/>
      <c r="G145" s="95" t="s">
        <v>329</v>
      </c>
      <c r="H145" s="58"/>
      <c r="I145" s="71"/>
      <c r="J145" s="67"/>
      <c r="K145" s="96">
        <v>0</v>
      </c>
      <c r="L145" s="96">
        <v>0</v>
      </c>
      <c r="M145" s="96">
        <v>0</v>
      </c>
      <c r="N145" s="96">
        <v>0</v>
      </c>
      <c r="O145" s="96">
        <v>0</v>
      </c>
      <c r="P145" s="96">
        <v>0</v>
      </c>
      <c r="Q145" s="96">
        <v>0</v>
      </c>
      <c r="R145" s="96">
        <v>0</v>
      </c>
      <c r="S145" s="89">
        <f t="shared" si="274"/>
        <v>0</v>
      </c>
      <c r="T145" s="89">
        <f t="shared" si="274"/>
        <v>0</v>
      </c>
      <c r="U145" s="89">
        <f t="shared" si="274"/>
        <v>0</v>
      </c>
      <c r="V145" s="89">
        <f t="shared" si="274"/>
        <v>0</v>
      </c>
      <c r="W145" s="96">
        <f>SUM(K145:V145)</f>
        <v>0</v>
      </c>
      <c r="X145" s="96"/>
      <c r="Y145" s="96"/>
      <c r="Z145" s="96"/>
      <c r="AA145" s="96"/>
      <c r="AB145" s="96"/>
      <c r="AC145" s="96" cm="1">
        <f t="array" ref="AC145">IF(AC$8="",0,_xll.GetData(AC$8,$AQ145))</f>
        <v>0</v>
      </c>
      <c r="AD145" s="96" cm="1">
        <f t="array" ref="AD145">IF(AD$8="",0,_xll.GetData(AD$8,$AQ145))</f>
        <v>0</v>
      </c>
      <c r="AE145" s="96" cm="1">
        <f t="array" ref="AE145">IF(AE$8="",0,_xll.GetData(AE$8,$AQ145))</f>
        <v>0</v>
      </c>
      <c r="AF145" s="96" cm="1">
        <f t="array" ref="AF145">IF(AF$8="",0,_xll.GetData(AF$8,$AQ145))</f>
        <v>0</v>
      </c>
      <c r="AG145" s="96" cm="1">
        <f t="array" ref="AG145">IF(AG$8="",0,_xll.GetData(AG$8,$AQ145))</f>
        <v>0</v>
      </c>
      <c r="AH145" s="96" cm="1">
        <f t="array" ref="AH145">IF(AH$8="",0,_xll.GetData(AH$8,$AQ145))</f>
        <v>0</v>
      </c>
      <c r="AI145" s="96" cm="1">
        <f t="array" ref="AI145">IF(AI$8="",0,_xll.GetData(AI$8,$AQ145))</f>
        <v>0</v>
      </c>
      <c r="AJ145" s="96" cm="1">
        <f t="array" ref="AJ145">IF(AJ$8="",0,_xll.GetData(AJ$8,$AQ145))</f>
        <v>0</v>
      </c>
      <c r="AK145" s="96" cm="1">
        <f t="array" ref="AK145">IF(AK$8="",0,_xll.GetData(AK$8,$AQ145))</f>
        <v>0</v>
      </c>
      <c r="AL145" s="96" cm="1">
        <f t="array" ref="AL145">IF(AL$8="",0,_xll.GetData(AL$8,$AQ145))</f>
        <v>0</v>
      </c>
      <c r="AM145" s="96" cm="1">
        <f t="array" ref="AM145">IF(AM$8="",0,_xll.GetData(AM$8,$AQ145))</f>
        <v>0</v>
      </c>
      <c r="AN145" s="96" cm="1">
        <f t="array" ref="AN145">IF(AN$8="",0,_xll.GetData(AN$8,$AQ145))</f>
        <v>0</v>
      </c>
      <c r="AO145" s="69"/>
      <c r="AP145" s="111">
        <f>AP146</f>
        <v>43</v>
      </c>
      <c r="AQ145" s="111" t="str">
        <f>"Dept="&amp;AU145&amp;" And Acct="&amp;AV145</f>
        <v>Dept=0 And Acct=60300</v>
      </c>
      <c r="AR145" s="167"/>
      <c r="AS145" s="167" t="str">
        <f>IF(OR(AU145=0,AV145=0),"NoSave","[Save]")</f>
        <v>NoSave</v>
      </c>
      <c r="AT145" s="167"/>
      <c r="AU145" s="111">
        <f>AU146</f>
        <v>0</v>
      </c>
      <c r="AV145" s="111">
        <f>AV146</f>
        <v>60300</v>
      </c>
      <c r="AW145" s="111">
        <v>1</v>
      </c>
      <c r="AX145" s="281">
        <f>IF(K$20="CYA",0,K145)</f>
        <v>0</v>
      </c>
      <c r="AY145" s="281">
        <f t="shared" si="275"/>
        <v>0</v>
      </c>
      <c r="AZ145" s="281">
        <f t="shared" si="276"/>
        <v>0</v>
      </c>
      <c r="BA145" s="281">
        <f t="shared" si="277"/>
        <v>0</v>
      </c>
      <c r="BB145" s="281">
        <f t="shared" si="278"/>
        <v>0</v>
      </c>
      <c r="BC145" s="281">
        <f t="shared" si="279"/>
        <v>0</v>
      </c>
      <c r="BD145" s="281">
        <f t="shared" si="280"/>
        <v>0</v>
      </c>
      <c r="BE145" s="281">
        <f t="shared" si="281"/>
        <v>0</v>
      </c>
      <c r="BF145" s="281">
        <f t="shared" si="282"/>
        <v>0</v>
      </c>
      <c r="BG145" s="281">
        <f t="shared" si="283"/>
        <v>0</v>
      </c>
      <c r="BH145" s="281">
        <f t="shared" si="284"/>
        <v>0</v>
      </c>
      <c r="BI145" s="281">
        <f t="shared" si="285"/>
        <v>0</v>
      </c>
      <c r="BJ145" s="89">
        <f>CB145</f>
        <v>0</v>
      </c>
      <c r="BK145" s="96">
        <v>0</v>
      </c>
    </row>
    <row r="146" spans="1:63" s="55" customFormat="1" ht="17.399999999999999" thickTop="1">
      <c r="A146" s="105"/>
      <c r="B146" s="114" t="str">
        <f>C143</f>
        <v>E_SalariesMid</v>
      </c>
      <c r="C146" s="112" t="s">
        <v>278</v>
      </c>
      <c r="D146" s="110"/>
      <c r="E146" s="112"/>
      <c r="F146" s="74"/>
      <c r="G146" s="100" t="str">
        <f>"   Total "&amp;G143</f>
        <v xml:space="preserve">   Total Salaries &amp; Wages - Advanced Practice</v>
      </c>
      <c r="H146" s="100"/>
      <c r="I146" s="100"/>
      <c r="J146" s="116"/>
      <c r="K146" s="116">
        <f>IF(K$20="CYA",K143,K143*(1+K144)+K145)</f>
        <v>0</v>
      </c>
      <c r="L146" s="116">
        <f>IF(L$20="CYA",L143,L143*(1+L144)+L145)</f>
        <v>0</v>
      </c>
      <c r="M146" s="116">
        <f>IF(M$20="CYA",M143,M143*(1+M144)+M145)</f>
        <v>0</v>
      </c>
      <c r="N146" s="116">
        <f>IF(N$20="CYA",N143,N143*(1+N144)+N145)</f>
        <v>0</v>
      </c>
      <c r="O146" s="116">
        <f>IF(O$20="CYA",O143,O143*(1+O144)+O145)</f>
        <v>0</v>
      </c>
      <c r="P146" s="116">
        <f>IF(P$20="CYA",P143,P143*(1+P144)+P145)</f>
        <v>0</v>
      </c>
      <c r="Q146" s="116">
        <f>IF(Q$20="CYA",Q143,Q143*(1+Q144)+Q145)</f>
        <v>0</v>
      </c>
      <c r="R146" s="116">
        <f>IF(R$20="CYA",R143,R143*(1+R144)+R145)</f>
        <v>0</v>
      </c>
      <c r="S146" s="116">
        <f>IF(S$20="CYA",S143,S143*(1+S144)+S145)</f>
        <v>0</v>
      </c>
      <c r="T146" s="116">
        <f>IF(T$20="CYA",T143,T143*(1+T144)+T145)</f>
        <v>0</v>
      </c>
      <c r="U146" s="116">
        <f>IF(U$20="CYA",U143,U143*(1+U144)+U145)</f>
        <v>0</v>
      </c>
      <c r="V146" s="116">
        <f>IF(V$20="CYA",V143,V143*(1+V144)+V145)</f>
        <v>0</v>
      </c>
      <c r="W146" s="116">
        <f>SUM(K146:V146)</f>
        <v>0</v>
      </c>
      <c r="X146" s="116"/>
      <c r="Y146" s="116">
        <f>SUM(Y143:Y145)</f>
        <v>0</v>
      </c>
      <c r="Z146" s="116">
        <f>Y146-W146</f>
        <v>0</v>
      </c>
      <c r="AA146" s="102">
        <f>IF(Y146=0,0,Z146/Y146)</f>
        <v>0</v>
      </c>
      <c r="AB146" s="116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67"/>
      <c r="AP146" s="111">
        <f>ROW(Control!D43)</f>
        <v>43</v>
      </c>
      <c r="AQ146" s="111"/>
      <c r="AR146" s="167"/>
      <c r="AS146" s="167"/>
      <c r="AT146" s="167" t="str">
        <f>IF(OR(AU146=0,AV146=0),"NoSave","[Save]")</f>
        <v>NoSave</v>
      </c>
      <c r="AU146" s="111" cm="1">
        <f t="array" ref="AU146">INDEX(Control!G$1:G$9997,$AP146)</f>
        <v>0</v>
      </c>
      <c r="AV146" s="111" cm="1">
        <f t="array" ref="AV146">INDEX(Control!I$1:I$9997,$AP146)</f>
        <v>60300</v>
      </c>
      <c r="AW146" s="111">
        <v>1</v>
      </c>
      <c r="AX146" s="281">
        <f>IF(K$20="CYA",0,K146-K143)</f>
        <v>0</v>
      </c>
      <c r="AY146" s="281">
        <f t="shared" ref="AY146" si="286">IF(L$20="CYA",0,L146-L143)</f>
        <v>0</v>
      </c>
      <c r="AZ146" s="281">
        <f t="shared" ref="AZ146" si="287">IF(M$20="CYA",0,M146-M143)</f>
        <v>0</v>
      </c>
      <c r="BA146" s="281">
        <f t="shared" ref="BA146" si="288">IF(N$20="CYA",0,N146-N143)</f>
        <v>0</v>
      </c>
      <c r="BB146" s="281">
        <f t="shared" ref="BB146" si="289">IF(O$20="CYA",0,O146-O143)</f>
        <v>0</v>
      </c>
      <c r="BC146" s="281">
        <f t="shared" ref="BC146" si="290">IF(P$20="CYA",0,P146-P143)</f>
        <v>0</v>
      </c>
      <c r="BD146" s="281">
        <f t="shared" ref="BD146" si="291">IF(Q$20="CYA",0,Q146-Q143)</f>
        <v>0</v>
      </c>
      <c r="BE146" s="281">
        <f t="shared" ref="BE146" si="292">IF(R$20="CYA",0,R146-R143)</f>
        <v>0</v>
      </c>
      <c r="BF146" s="281">
        <f t="shared" ref="BF146" si="293">IF(S$20="CYA",0,S146-S143)</f>
        <v>0</v>
      </c>
      <c r="BG146" s="281">
        <f t="shared" ref="BG146" si="294">IF(T$20="CYA",0,T146-T143)</f>
        <v>0</v>
      </c>
      <c r="BH146" s="281">
        <f t="shared" ref="BH146" si="295">IF(U$20="CYA",0,U146-U143)</f>
        <v>0</v>
      </c>
      <c r="BI146" s="281">
        <f t="shared" ref="BI146" si="296">IF(V$20="CYA",0,V146-V143)</f>
        <v>0</v>
      </c>
    </row>
    <row r="147" spans="1:63" s="55" customFormat="1" ht="16.8">
      <c r="A147" s="105"/>
      <c r="B147" s="114"/>
      <c r="C147" s="112"/>
      <c r="D147" s="110"/>
      <c r="E147" s="112"/>
      <c r="F147" s="74"/>
      <c r="G147" s="100" t="s">
        <v>528</v>
      </c>
      <c r="H147" s="100"/>
      <c r="I147" s="100"/>
      <c r="J147" s="147"/>
      <c r="K147" s="149">
        <f>IF(K141=0,0,K146/K141)</f>
        <v>0</v>
      </c>
      <c r="L147" s="149">
        <f>IF(L141=0,0,L146/L141)</f>
        <v>0</v>
      </c>
      <c r="M147" s="149">
        <f>IF(M141=0,0,M146/M141)</f>
        <v>0</v>
      </c>
      <c r="N147" s="149">
        <f>IF(N141=0,0,N146/N141)</f>
        <v>0</v>
      </c>
      <c r="O147" s="149">
        <f>IF(O141=0,0,O146/O141)</f>
        <v>0</v>
      </c>
      <c r="P147" s="149">
        <f>IF(P141=0,0,P146/P141)</f>
        <v>0</v>
      </c>
      <c r="Q147" s="149">
        <f>IF(Q141=0,0,Q146/Q141)</f>
        <v>0</v>
      </c>
      <c r="R147" s="149">
        <f>IF(R141=0,0,R146/R141)</f>
        <v>0</v>
      </c>
      <c r="S147" s="149">
        <f>IF(S141=0,0,S146/S141)</f>
        <v>0</v>
      </c>
      <c r="T147" s="149">
        <f>IF(T141=0,0,T146/T141)</f>
        <v>0</v>
      </c>
      <c r="U147" s="149">
        <f>IF(U141=0,0,U146/U141)</f>
        <v>0</v>
      </c>
      <c r="V147" s="149">
        <f>IF(V141=0,0,V146/V141)</f>
        <v>0</v>
      </c>
      <c r="W147" s="149">
        <f>IF(W141=0,0,W146/W141)</f>
        <v>0</v>
      </c>
      <c r="X147" s="149"/>
      <c r="Y147" s="149">
        <f>IF(Y141=0,0,Y146/Y141)</f>
        <v>0</v>
      </c>
      <c r="Z147" s="147"/>
      <c r="AA147" s="102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67"/>
      <c r="AP147" s="111"/>
      <c r="AQ147" s="111"/>
      <c r="AR147" s="167"/>
      <c r="AS147" s="167"/>
      <c r="AT147" s="167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</row>
    <row r="148" spans="1:63" ht="16.8">
      <c r="A148" s="105"/>
      <c r="B148" s="106"/>
      <c r="C148" s="112"/>
      <c r="D148" s="110"/>
      <c r="E148" s="112"/>
      <c r="F148" s="74"/>
      <c r="G148" s="95"/>
      <c r="H148" s="67"/>
      <c r="I148" s="67"/>
      <c r="J148" s="67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67"/>
      <c r="AP148" s="111"/>
      <c r="AQ148" s="111"/>
      <c r="AR148" s="167"/>
      <c r="AS148" s="167"/>
      <c r="AT148" s="167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</row>
    <row r="149" spans="1:63" ht="17.399999999999999" thickBot="1">
      <c r="A149" s="105" t="str">
        <f>C149</f>
        <v>E_Benefits</v>
      </c>
      <c r="B149" s="106"/>
      <c r="C149" s="112" t="s">
        <v>339</v>
      </c>
      <c r="D149" s="110"/>
      <c r="E149" s="112"/>
      <c r="F149" s="58"/>
      <c r="G149" s="95" t="s">
        <v>233</v>
      </c>
      <c r="H149" s="67"/>
      <c r="I149" s="67"/>
      <c r="J149" s="67"/>
      <c r="K149" s="96">
        <v>2627164.2600000021</v>
      </c>
      <c r="L149" s="96">
        <v>3205326.1299999985</v>
      </c>
      <c r="M149" s="96">
        <v>2964594.2000000007</v>
      </c>
      <c r="N149" s="96">
        <v>2859763.5700000008</v>
      </c>
      <c r="O149" s="96">
        <v>2716353.6299999994</v>
      </c>
      <c r="P149" s="96">
        <v>2186642.8920970825</v>
      </c>
      <c r="Q149" s="96">
        <v>2242146.7761587007</v>
      </c>
      <c r="R149" s="96">
        <v>2214404.0068185767</v>
      </c>
      <c r="S149" s="96">
        <v>2246568.9367024014</v>
      </c>
      <c r="T149" s="96">
        <v>2242535.5769570307</v>
      </c>
      <c r="U149" s="96">
        <v>2306695.5830202308</v>
      </c>
      <c r="V149" s="96">
        <v>2369802.1342031644</v>
      </c>
      <c r="W149" s="96">
        <f>SUM(K149:V149)</f>
        <v>30181997.695957191</v>
      </c>
      <c r="X149" s="96"/>
      <c r="Y149" s="96">
        <v>29992265.825821858</v>
      </c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R149" s="167"/>
      <c r="AS149" s="167"/>
      <c r="AT149" s="167"/>
      <c r="AU149" s="111"/>
      <c r="AV149" s="111"/>
      <c r="AW149" s="111">
        <v>1</v>
      </c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</row>
    <row r="150" spans="1:63" ht="18" thickTop="1" thickBot="1">
      <c r="A150" s="105"/>
      <c r="B150" s="106"/>
      <c r="C150" s="112" t="str">
        <f>"ACCT.FSDetail='"&amp;C149&amp;"'"</f>
        <v>ACCT.FSDetail='E_Benefits'</v>
      </c>
      <c r="D150" s="110" t="s">
        <v>411</v>
      </c>
      <c r="E150" s="112"/>
      <c r="F150" s="58"/>
      <c r="G150" s="95" t="s">
        <v>328</v>
      </c>
      <c r="H150" s="58"/>
      <c r="I150" s="46"/>
      <c r="J150" s="46"/>
      <c r="K150" s="86">
        <v>0</v>
      </c>
      <c r="L150" s="86">
        <v>0</v>
      </c>
      <c r="M150" s="86">
        <v>0</v>
      </c>
      <c r="N150" s="86">
        <v>0</v>
      </c>
      <c r="O150" s="86">
        <v>0</v>
      </c>
      <c r="P150" s="86">
        <v>0</v>
      </c>
      <c r="Q150" s="86">
        <v>0</v>
      </c>
      <c r="R150" s="86">
        <v>0</v>
      </c>
      <c r="S150" s="90">
        <f t="shared" ref="S150:V151" si="297">AK150</f>
        <v>0</v>
      </c>
      <c r="T150" s="90">
        <f t="shared" si="297"/>
        <v>0</v>
      </c>
      <c r="U150" s="90">
        <f t="shared" si="297"/>
        <v>0</v>
      </c>
      <c r="V150" s="90">
        <f t="shared" si="297"/>
        <v>0</v>
      </c>
      <c r="W150" s="97">
        <f>IF(W152=0,0,1-(SUM(W151,W149)/W152))</f>
        <v>0</v>
      </c>
      <c r="X150" s="97"/>
      <c r="Y150" s="97"/>
      <c r="Z150" s="97"/>
      <c r="AA150" s="97"/>
      <c r="AB150" s="97"/>
      <c r="AC150" s="97" cm="1">
        <f t="array" ref="AC150">IF(AC$7="",0,_xll.GetData(AC$7,$AQ150))</f>
        <v>0</v>
      </c>
      <c r="AD150" s="97" cm="1">
        <f t="array" ref="AD150">IF(AD$7="",0,_xll.GetData(AD$7,$AQ150))</f>
        <v>0</v>
      </c>
      <c r="AE150" s="97" cm="1">
        <f t="array" ref="AE150">IF(AE$7="",0,_xll.GetData(AE$7,$AQ150))</f>
        <v>0</v>
      </c>
      <c r="AF150" s="97" cm="1">
        <f t="array" ref="AF150">IF(AF$7="",0,_xll.GetData(AF$7,$AQ150))</f>
        <v>0</v>
      </c>
      <c r="AG150" s="97" cm="1">
        <f t="array" ref="AG150">IF(AG$7="",0,_xll.GetData(AG$7,$AQ150))</f>
        <v>0</v>
      </c>
      <c r="AH150" s="97" cm="1">
        <f t="array" ref="AH150">IF(AH$7="",0,_xll.GetData(AH$7,$AQ150))</f>
        <v>0</v>
      </c>
      <c r="AI150" s="97" cm="1">
        <f t="array" ref="AI150">IF(AI$7="",0,_xll.GetData(AI$7,$AQ150))</f>
        <v>0</v>
      </c>
      <c r="AJ150" s="97" cm="1">
        <f t="array" ref="AJ150">IF(AJ$7="",0,_xll.GetData(AJ$7,$AQ150))</f>
        <v>0</v>
      </c>
      <c r="AK150" s="97" cm="1">
        <f t="array" ref="AK150">IF(AK$7="",0,_xll.GetData(AK$7,$AQ150))</f>
        <v>0</v>
      </c>
      <c r="AL150" s="97" cm="1">
        <f t="array" ref="AL150">IF(AL$7="",0,_xll.GetData(AL$7,$AQ150))</f>
        <v>0</v>
      </c>
      <c r="AM150" s="97" cm="1">
        <f t="array" ref="AM150">IF(AM$7="",0,_xll.GetData(AM$7,$AQ150))</f>
        <v>0</v>
      </c>
      <c r="AN150" s="97" cm="1">
        <f t="array" ref="AN150">IF(AN$7="",0,_xll.GetData(AN$7,$AQ150))</f>
        <v>0</v>
      </c>
      <c r="AO150" s="46"/>
      <c r="AP150" s="111">
        <f>AP152</f>
        <v>44</v>
      </c>
      <c r="AQ150" s="111" t="str">
        <f>"Dept="&amp;AU150&amp;" And Acct="&amp;AV150</f>
        <v>Dept=0 And Acct=61500</v>
      </c>
      <c r="AR150" s="167" t="str">
        <f>IF(OR(AU150=0,AV150=0),"NoSave","[Save]")</f>
        <v>NoSave</v>
      </c>
      <c r="AS150" s="167"/>
      <c r="AT150" s="167"/>
      <c r="AU150" s="111">
        <f>AU152</f>
        <v>0</v>
      </c>
      <c r="AV150" s="111">
        <f>AV152</f>
        <v>61500</v>
      </c>
      <c r="AW150" s="111">
        <v>1</v>
      </c>
      <c r="AX150" s="280">
        <f>IF(K$20="CYA",0,K150)</f>
        <v>0</v>
      </c>
      <c r="AY150" s="280">
        <f t="shared" ref="AY150:AY151" si="298">IF(L$20="CYA",0,L150)</f>
        <v>0</v>
      </c>
      <c r="AZ150" s="280">
        <f t="shared" ref="AZ150:AZ151" si="299">IF(M$20="CYA",0,M150)</f>
        <v>0</v>
      </c>
      <c r="BA150" s="280">
        <f t="shared" ref="BA150:BA151" si="300">IF(N$20="CYA",0,N150)</f>
        <v>0</v>
      </c>
      <c r="BB150" s="280">
        <f t="shared" ref="BB150:BB151" si="301">IF(O$20="CYA",0,O150)</f>
        <v>0</v>
      </c>
      <c r="BC150" s="280">
        <f t="shared" ref="BC150:BC151" si="302">IF(P$20="CYA",0,P150)</f>
        <v>0</v>
      </c>
      <c r="BD150" s="280">
        <f t="shared" ref="BD150:BD151" si="303">IF(Q$20="CYA",0,Q150)</f>
        <v>0</v>
      </c>
      <c r="BE150" s="280">
        <f t="shared" ref="BE150:BE151" si="304">IF(R$20="CYA",0,R150)</f>
        <v>0</v>
      </c>
      <c r="BF150" s="280">
        <f t="shared" ref="BF150:BF151" si="305">IF(S$20="CYA",0,S150)</f>
        <v>0</v>
      </c>
      <c r="BG150" s="280">
        <f t="shared" ref="BG150:BG151" si="306">IF(T$20="CYA",0,T150)</f>
        <v>0</v>
      </c>
      <c r="BH150" s="280">
        <f t="shared" ref="BH150:BH151" si="307">IF(U$20="CYA",0,U150)</f>
        <v>0</v>
      </c>
      <c r="BI150" s="280">
        <f t="shared" ref="BI150:BI151" si="308">IF(V$20="CYA",0,V150)</f>
        <v>0</v>
      </c>
      <c r="BJ150" s="90">
        <f>CB150</f>
        <v>0</v>
      </c>
      <c r="BK150" s="86">
        <v>0</v>
      </c>
    </row>
    <row r="151" spans="1:63" ht="18" thickTop="1" thickBot="1">
      <c r="A151" s="113"/>
      <c r="B151" s="106"/>
      <c r="C151" s="112" t="str">
        <f>C150</f>
        <v>ACCT.FSDetail='E_Benefits'</v>
      </c>
      <c r="D151" s="110" t="s">
        <v>411</v>
      </c>
      <c r="E151" s="112"/>
      <c r="F151" s="58"/>
      <c r="G151" s="95" t="s">
        <v>329</v>
      </c>
      <c r="H151" s="58"/>
      <c r="I151" s="71"/>
      <c r="J151" s="67"/>
      <c r="K151" s="96">
        <v>0</v>
      </c>
      <c r="L151" s="96">
        <v>0</v>
      </c>
      <c r="M151" s="96">
        <v>0</v>
      </c>
      <c r="N151" s="96">
        <v>0</v>
      </c>
      <c r="O151" s="96">
        <v>0</v>
      </c>
      <c r="P151" s="96">
        <v>0</v>
      </c>
      <c r="Q151" s="96">
        <v>0</v>
      </c>
      <c r="R151" s="96">
        <v>0</v>
      </c>
      <c r="S151" s="89">
        <f t="shared" si="297"/>
        <v>0</v>
      </c>
      <c r="T151" s="89">
        <f t="shared" si="297"/>
        <v>0</v>
      </c>
      <c r="U151" s="89">
        <f t="shared" si="297"/>
        <v>0</v>
      </c>
      <c r="V151" s="89">
        <f t="shared" si="297"/>
        <v>0</v>
      </c>
      <c r="W151" s="96">
        <f>SUM(K151:V151)</f>
        <v>0</v>
      </c>
      <c r="X151" s="96"/>
      <c r="Y151" s="96"/>
      <c r="Z151" s="96"/>
      <c r="AA151" s="96"/>
      <c r="AB151" s="96"/>
      <c r="AC151" s="96" cm="1">
        <f t="array" ref="AC151">IF(AC$8="",0,_xll.GetData(AC$8,$AQ151))</f>
        <v>0</v>
      </c>
      <c r="AD151" s="96" cm="1">
        <f t="array" ref="AD151">IF(AD$8="",0,_xll.GetData(AD$8,$AQ151))</f>
        <v>0</v>
      </c>
      <c r="AE151" s="96" cm="1">
        <f t="array" ref="AE151">IF(AE$8="",0,_xll.GetData(AE$8,$AQ151))</f>
        <v>0</v>
      </c>
      <c r="AF151" s="96" cm="1">
        <f t="array" ref="AF151">IF(AF$8="",0,_xll.GetData(AF$8,$AQ151))</f>
        <v>0</v>
      </c>
      <c r="AG151" s="96" cm="1">
        <f t="array" ref="AG151">IF(AG$8="",0,_xll.GetData(AG$8,$AQ151))</f>
        <v>0</v>
      </c>
      <c r="AH151" s="96" cm="1">
        <f t="array" ref="AH151">IF(AH$8="",0,_xll.GetData(AH$8,$AQ151))</f>
        <v>0</v>
      </c>
      <c r="AI151" s="96" cm="1">
        <f t="array" ref="AI151">IF(AI$8="",0,_xll.GetData(AI$8,$AQ151))</f>
        <v>0</v>
      </c>
      <c r="AJ151" s="96" cm="1">
        <f t="array" ref="AJ151">IF(AJ$8="",0,_xll.GetData(AJ$8,$AQ151))</f>
        <v>0</v>
      </c>
      <c r="AK151" s="96" cm="1">
        <f t="array" ref="AK151">IF(AK$8="",0,_xll.GetData(AK$8,$AQ151))</f>
        <v>0</v>
      </c>
      <c r="AL151" s="96" cm="1">
        <f t="array" ref="AL151">IF(AL$8="",0,_xll.GetData(AL$8,$AQ151))</f>
        <v>0</v>
      </c>
      <c r="AM151" s="96" cm="1">
        <f t="array" ref="AM151">IF(AM$8="",0,_xll.GetData(AM$8,$AQ151))</f>
        <v>0</v>
      </c>
      <c r="AN151" s="96" cm="1">
        <f t="array" ref="AN151">IF(AN$8="",0,_xll.GetData(AN$8,$AQ151))</f>
        <v>0</v>
      </c>
      <c r="AO151" s="69"/>
      <c r="AP151" s="111">
        <f>AP152</f>
        <v>44</v>
      </c>
      <c r="AQ151" s="111" t="str">
        <f>"Dept="&amp;AU151&amp;" And Acct="&amp;AV151</f>
        <v>Dept=0 And Acct=61500</v>
      </c>
      <c r="AR151" s="167"/>
      <c r="AS151" s="167" t="str">
        <f>IF(OR(AU151=0,AV151=0),"NoSave","[Save]")</f>
        <v>NoSave</v>
      </c>
      <c r="AT151" s="167"/>
      <c r="AU151" s="111">
        <f>AU152</f>
        <v>0</v>
      </c>
      <c r="AV151" s="111">
        <f>AV152</f>
        <v>61500</v>
      </c>
      <c r="AW151" s="111">
        <v>1</v>
      </c>
      <c r="AX151" s="281">
        <f>IF(K$20="CYA",0,K151)</f>
        <v>0</v>
      </c>
      <c r="AY151" s="281">
        <f t="shared" si="298"/>
        <v>0</v>
      </c>
      <c r="AZ151" s="281">
        <f t="shared" si="299"/>
        <v>0</v>
      </c>
      <c r="BA151" s="281">
        <f t="shared" si="300"/>
        <v>0</v>
      </c>
      <c r="BB151" s="281">
        <f t="shared" si="301"/>
        <v>0</v>
      </c>
      <c r="BC151" s="281">
        <f t="shared" si="302"/>
        <v>0</v>
      </c>
      <c r="BD151" s="281">
        <f t="shared" si="303"/>
        <v>0</v>
      </c>
      <c r="BE151" s="281">
        <f t="shared" si="304"/>
        <v>0</v>
      </c>
      <c r="BF151" s="281">
        <f t="shared" si="305"/>
        <v>0</v>
      </c>
      <c r="BG151" s="281">
        <f t="shared" si="306"/>
        <v>0</v>
      </c>
      <c r="BH151" s="281">
        <f t="shared" si="307"/>
        <v>0</v>
      </c>
      <c r="BI151" s="281">
        <f t="shared" si="308"/>
        <v>0</v>
      </c>
      <c r="BJ151" s="89">
        <f>CB151</f>
        <v>0</v>
      </c>
      <c r="BK151" s="96">
        <v>0</v>
      </c>
    </row>
    <row r="152" spans="1:63" ht="17.399999999999999" thickTop="1">
      <c r="A152" s="105"/>
      <c r="B152" s="114" t="str">
        <f>C149</f>
        <v>E_Benefits</v>
      </c>
      <c r="C152" s="112" t="s">
        <v>278</v>
      </c>
      <c r="D152" s="110"/>
      <c r="E152" s="112"/>
      <c r="F152" s="74"/>
      <c r="G152" s="100" t="str">
        <f>"   Total "&amp;G149</f>
        <v xml:space="preserve">   Total Benefits</v>
      </c>
      <c r="H152" s="100"/>
      <c r="I152" s="100"/>
      <c r="J152" s="116"/>
      <c r="K152" s="116">
        <f>IF(K$20="CYA",K149,K149*(1+K150)+K151)</f>
        <v>2627164.2600000021</v>
      </c>
      <c r="L152" s="116">
        <f>IF(L$20="CYA",L149,L149*(1+L150)+L151)</f>
        <v>3205326.1299999985</v>
      </c>
      <c r="M152" s="116">
        <f>IF(M$20="CYA",M149,M149*(1+M150)+M151)</f>
        <v>2964594.2000000007</v>
      </c>
      <c r="N152" s="116">
        <f>IF(N$20="CYA",N149,N149*(1+N150)+N151)</f>
        <v>2859763.5700000008</v>
      </c>
      <c r="O152" s="116">
        <f>IF(O$20="CYA",O149,O149*(1+O150)+O151)</f>
        <v>2716353.6299999994</v>
      </c>
      <c r="P152" s="116">
        <f>IF(P$20="CYA",P149,P149*(1+P150)+P151)</f>
        <v>2186642.8920970825</v>
      </c>
      <c r="Q152" s="116">
        <f>IF(Q$20="CYA",Q149,Q149*(1+Q150)+Q151)</f>
        <v>2242146.7761587007</v>
      </c>
      <c r="R152" s="116">
        <f>IF(R$20="CYA",R149,R149*(1+R150)+R151)</f>
        <v>2214404.0068185767</v>
      </c>
      <c r="S152" s="116">
        <f>IF(S$20="CYA",S149,S149*(1+S150)+S151)</f>
        <v>2246568.9367024014</v>
      </c>
      <c r="T152" s="116">
        <f>IF(T$20="CYA",T149,T149*(1+T150)+T151)</f>
        <v>2242535.5769570307</v>
      </c>
      <c r="U152" s="116">
        <f>IF(U$20="CYA",U149,U149*(1+U150)+U151)</f>
        <v>2306695.5830202308</v>
      </c>
      <c r="V152" s="116">
        <f>IF(V$20="CYA",V149,V149*(1+V150)+V151)</f>
        <v>2369802.1342031644</v>
      </c>
      <c r="W152" s="116">
        <f>SUM(K152:V152)</f>
        <v>30181997.695957191</v>
      </c>
      <c r="X152" s="116"/>
      <c r="Y152" s="116">
        <f>SUM(Y149:Y151)</f>
        <v>29992265.825821858</v>
      </c>
      <c r="Z152" s="116">
        <f>Y152-W152</f>
        <v>-189731.87013533339</v>
      </c>
      <c r="AA152" s="102">
        <f>IF(Y152=0,0,Z152/Y152)</f>
        <v>-6.3260265575528348E-3</v>
      </c>
      <c r="AB152" s="116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67"/>
      <c r="AP152" s="111">
        <f>ROW(Control!D44)</f>
        <v>44</v>
      </c>
      <c r="AQ152" s="111"/>
      <c r="AR152" s="167"/>
      <c r="AS152" s="167"/>
      <c r="AT152" s="167" t="str">
        <f>IF(OR(AU152=0,AV152=0),"NoSave","[Save]")</f>
        <v>NoSave</v>
      </c>
      <c r="AU152" s="111" cm="1">
        <f t="array" ref="AU152">INDEX(Control!G$1:G$9997,$AP152)</f>
        <v>0</v>
      </c>
      <c r="AV152" s="111" cm="1">
        <f t="array" ref="AV152">INDEX(Control!I$1:I$9997,$AP152)</f>
        <v>61500</v>
      </c>
      <c r="AW152" s="111">
        <v>1</v>
      </c>
      <c r="AX152" s="281">
        <f>IF(K$20="CYA",0,K152-K149)</f>
        <v>0</v>
      </c>
      <c r="AY152" s="281">
        <f t="shared" ref="AY152" si="309">IF(L$20="CYA",0,L152-L149)</f>
        <v>0</v>
      </c>
      <c r="AZ152" s="281">
        <f t="shared" ref="AZ152" si="310">IF(M$20="CYA",0,M152-M149)</f>
        <v>0</v>
      </c>
      <c r="BA152" s="281">
        <f t="shared" ref="BA152" si="311">IF(N$20="CYA",0,N152-N149)</f>
        <v>0</v>
      </c>
      <c r="BB152" s="281">
        <f t="shared" ref="BB152" si="312">IF(O$20="CYA",0,O152-O149)</f>
        <v>0</v>
      </c>
      <c r="BC152" s="281">
        <f t="shared" ref="BC152" si="313">IF(P$20="CYA",0,P152-P149)</f>
        <v>0</v>
      </c>
      <c r="BD152" s="281">
        <f t="shared" ref="BD152" si="314">IF(Q$20="CYA",0,Q152-Q149)</f>
        <v>0</v>
      </c>
      <c r="BE152" s="281">
        <f t="shared" ref="BE152" si="315">IF(R$20="CYA",0,R152-R149)</f>
        <v>0</v>
      </c>
      <c r="BF152" s="281">
        <f t="shared" ref="BF152" si="316">IF(S$20="CYA",0,S152-S149)</f>
        <v>0</v>
      </c>
      <c r="BG152" s="281">
        <f t="shared" ref="BG152" si="317">IF(T$20="CYA",0,T152-T149)</f>
        <v>0</v>
      </c>
      <c r="BH152" s="281">
        <f t="shared" ref="BH152" si="318">IF(U$20="CYA",0,U152-U149)</f>
        <v>0</v>
      </c>
      <c r="BI152" s="281">
        <f t="shared" ref="BI152" si="319">IF(V$20="CYA",0,V152-V149)</f>
        <v>0</v>
      </c>
    </row>
    <row r="153" spans="1:63" s="55" customFormat="1" ht="16.8">
      <c r="A153" s="105"/>
      <c r="B153" s="114"/>
      <c r="C153" s="112"/>
      <c r="D153" s="110"/>
      <c r="E153" s="112"/>
      <c r="F153" s="74"/>
      <c r="G153" s="100" t="s">
        <v>506</v>
      </c>
      <c r="H153" s="100"/>
      <c r="I153" s="100"/>
      <c r="J153" s="147"/>
      <c r="K153" s="150">
        <f>K152/K124</f>
        <v>0.19886211475620111</v>
      </c>
      <c r="L153" s="150">
        <f>L152/L124</f>
        <v>0.25408536495385015</v>
      </c>
      <c r="M153" s="150">
        <f>M152/M124</f>
        <v>0.22906150153640606</v>
      </c>
      <c r="N153" s="150">
        <f>N152/N124</f>
        <v>0.21062851011280481</v>
      </c>
      <c r="O153" s="150">
        <f>O152/O124</f>
        <v>0.21357349632710962</v>
      </c>
      <c r="P153" s="150">
        <f>P152/P124</f>
        <v>0.21188318389186134</v>
      </c>
      <c r="Q153" s="150">
        <f>Q152/Q124</f>
        <v>0.2117253816748712</v>
      </c>
      <c r="R153" s="150">
        <f>R152/R124</f>
        <v>0.21448833065771339</v>
      </c>
      <c r="S153" s="150">
        <f>S152/S124</f>
        <v>0.20671458657165087</v>
      </c>
      <c r="T153" s="150">
        <f>T152/T124</f>
        <v>0.20569882699017975</v>
      </c>
      <c r="U153" s="150">
        <f>U152/U124</f>
        <v>0.20302789340982272</v>
      </c>
      <c r="V153" s="150">
        <f>V152/V124</f>
        <v>0.20788126577235166</v>
      </c>
      <c r="W153" s="150">
        <f>W152/W124</f>
        <v>0.21431560712537159</v>
      </c>
      <c r="X153" s="147"/>
      <c r="Y153" s="150">
        <f>Y152/Y124</f>
        <v>0.21407372851865442</v>
      </c>
      <c r="Z153" s="147"/>
      <c r="AA153" s="102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67"/>
      <c r="AP153" s="111"/>
      <c r="AQ153" s="111"/>
      <c r="AR153" s="167"/>
      <c r="AS153" s="167"/>
      <c r="AT153" s="167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</row>
    <row r="154" spans="1:63" ht="16.8">
      <c r="A154" s="105"/>
      <c r="B154" s="106"/>
      <c r="C154" s="112"/>
      <c r="D154" s="110"/>
      <c r="E154" s="112"/>
      <c r="F154" s="74"/>
      <c r="G154" s="95"/>
      <c r="H154" s="95"/>
      <c r="I154" s="95"/>
      <c r="J154" s="67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67"/>
      <c r="AR154" s="167"/>
      <c r="AS154" s="167"/>
      <c r="AT154" s="167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</row>
    <row r="155" spans="1:63" s="162" customFormat="1" ht="16.8">
      <c r="A155" s="153" t="s">
        <v>498</v>
      </c>
      <c r="B155" s="154"/>
      <c r="C155" s="155" t="s">
        <v>498</v>
      </c>
      <c r="D155" s="156"/>
      <c r="E155" s="155"/>
      <c r="F155" s="157"/>
      <c r="G155" s="158" t="s">
        <v>503</v>
      </c>
      <c r="H155" s="159"/>
      <c r="I155" s="159"/>
      <c r="J155" s="159"/>
      <c r="K155" s="160">
        <v>640.28357894736791</v>
      </c>
      <c r="L155" s="160">
        <v>754.64915789473707</v>
      </c>
      <c r="M155" s="160">
        <v>738.01673684210505</v>
      </c>
      <c r="N155" s="160">
        <v>816.62484210526293</v>
      </c>
      <c r="O155" s="160">
        <v>769.7816842105259</v>
      </c>
      <c r="P155" s="160">
        <v>556.33492824257792</v>
      </c>
      <c r="Q155" s="160">
        <v>577.72741610064691</v>
      </c>
      <c r="R155" s="160">
        <v>603.65422869006522</v>
      </c>
      <c r="S155" s="160">
        <v>607.60953596841546</v>
      </c>
      <c r="T155" s="160">
        <v>640.77335084986623</v>
      </c>
      <c r="U155" s="160">
        <v>641.54052891772164</v>
      </c>
      <c r="V155" s="160">
        <v>665.62850199807644</v>
      </c>
      <c r="W155" s="160">
        <f>SUM(K155:V155)</f>
        <v>8012.6244907673681</v>
      </c>
      <c r="X155" s="160"/>
      <c r="Y155" s="160">
        <v>11600.989567680597</v>
      </c>
      <c r="Z155" s="160">
        <f t="shared" ref="Z155" si="320">Y155-W155</f>
        <v>3588.3650769132291</v>
      </c>
      <c r="AA155" s="161">
        <f t="shared" ref="AA155" si="321">IF(Y155=0,0,Z155/Y155)</f>
        <v>0.30931543003108281</v>
      </c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R155" s="168"/>
      <c r="AS155" s="168"/>
      <c r="AT155" s="168"/>
      <c r="AU155" s="163"/>
      <c r="AV155" s="163"/>
      <c r="AW155" s="163">
        <v>1</v>
      </c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</row>
    <row r="156" spans="1:63" ht="17.399999999999999" thickBot="1">
      <c r="A156" s="105" t="str">
        <f>C156</f>
        <v>E_SalariesContract</v>
      </c>
      <c r="B156" s="106"/>
      <c r="C156" s="112" t="s">
        <v>340</v>
      </c>
      <c r="D156" s="110"/>
      <c r="E156" s="112"/>
      <c r="F156" s="74"/>
      <c r="G156" s="95" t="s">
        <v>234</v>
      </c>
      <c r="H156" s="95"/>
      <c r="I156" s="95"/>
      <c r="J156" s="67"/>
      <c r="K156" s="96">
        <v>174507.13</v>
      </c>
      <c r="L156" s="96">
        <v>217287.6</v>
      </c>
      <c r="M156" s="96">
        <v>197288.03</v>
      </c>
      <c r="N156" s="96">
        <v>233737.77</v>
      </c>
      <c r="O156" s="96">
        <v>199124.33</v>
      </c>
      <c r="P156" s="96">
        <v>83728.040548468634</v>
      </c>
      <c r="Q156" s="96">
        <v>85617.869271217409</v>
      </c>
      <c r="R156" s="96">
        <v>87081.971018435186</v>
      </c>
      <c r="S156" s="96">
        <v>87951.475844750836</v>
      </c>
      <c r="T156" s="96">
        <v>91252.446704469374</v>
      </c>
      <c r="U156" s="96">
        <v>90760.349921591755</v>
      </c>
      <c r="V156" s="96">
        <v>92860.111125401963</v>
      </c>
      <c r="W156" s="96">
        <f>SUM(K156:V156)</f>
        <v>1641197.1244343352</v>
      </c>
      <c r="X156" s="96"/>
      <c r="Y156" s="96">
        <v>1024449.2280396493</v>
      </c>
      <c r="Z156" s="96">
        <f t="shared" ref="Z156" si="322">Y156-W156</f>
        <v>-616747.89639468584</v>
      </c>
      <c r="AA156" s="148">
        <f t="shared" ref="AA156" si="323">IF(Y156=0,0,Z156/Y156)</f>
        <v>-0.60202875800382349</v>
      </c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R156" s="167"/>
      <c r="AS156" s="167"/>
      <c r="AT156" s="167"/>
      <c r="AU156" s="111"/>
      <c r="AV156" s="111"/>
      <c r="AW156" s="111">
        <v>1</v>
      </c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</row>
    <row r="157" spans="1:63" ht="18" thickTop="1" thickBot="1">
      <c r="A157" s="105"/>
      <c r="B157" s="106"/>
      <c r="C157" s="112" t="str">
        <f>"ACCT.FSDetail='"&amp;C156&amp;"'"</f>
        <v>ACCT.FSDetail='E_SalariesContract'</v>
      </c>
      <c r="D157" s="110" t="s">
        <v>411</v>
      </c>
      <c r="E157" s="112"/>
      <c r="F157" s="58"/>
      <c r="G157" s="95" t="s">
        <v>328</v>
      </c>
      <c r="H157" s="95"/>
      <c r="I157" s="95"/>
      <c r="J157" s="46"/>
      <c r="K157" s="86">
        <v>0</v>
      </c>
      <c r="L157" s="86">
        <v>0</v>
      </c>
      <c r="M157" s="86">
        <v>0</v>
      </c>
      <c r="N157" s="86">
        <v>0</v>
      </c>
      <c r="O157" s="86">
        <v>0</v>
      </c>
      <c r="P157" s="86">
        <v>0</v>
      </c>
      <c r="Q157" s="86">
        <v>0</v>
      </c>
      <c r="R157" s="86">
        <v>0</v>
      </c>
      <c r="S157" s="90">
        <f t="shared" ref="S157:V158" si="324">AK157</f>
        <v>0</v>
      </c>
      <c r="T157" s="90">
        <f t="shared" si="324"/>
        <v>0</v>
      </c>
      <c r="U157" s="90">
        <f t="shared" si="324"/>
        <v>0</v>
      </c>
      <c r="V157" s="90">
        <f t="shared" si="324"/>
        <v>0</v>
      </c>
      <c r="W157" s="97">
        <f>IF(W159=0,0,1-(SUM(W158,W156)/W159))</f>
        <v>0</v>
      </c>
      <c r="X157" s="97"/>
      <c r="Y157" s="97"/>
      <c r="Z157" s="97"/>
      <c r="AA157" s="97"/>
      <c r="AB157" s="97"/>
      <c r="AC157" s="97" cm="1">
        <f t="array" ref="AC157">IF(AC$7="",0,_xll.GetData(AC$7,$AQ157))</f>
        <v>0</v>
      </c>
      <c r="AD157" s="97" cm="1">
        <f t="array" ref="AD157">IF(AD$7="",0,_xll.GetData(AD$7,$AQ157))</f>
        <v>0</v>
      </c>
      <c r="AE157" s="97" cm="1">
        <f t="array" ref="AE157">IF(AE$7="",0,_xll.GetData(AE$7,$AQ157))</f>
        <v>0</v>
      </c>
      <c r="AF157" s="97" cm="1">
        <f t="array" ref="AF157">IF(AF$7="",0,_xll.GetData(AF$7,$AQ157))</f>
        <v>0</v>
      </c>
      <c r="AG157" s="97" cm="1">
        <f t="array" ref="AG157">IF(AG$7="",0,_xll.GetData(AG$7,$AQ157))</f>
        <v>0</v>
      </c>
      <c r="AH157" s="97" cm="1">
        <f t="array" ref="AH157">IF(AH$7="",0,_xll.GetData(AH$7,$AQ157))</f>
        <v>0</v>
      </c>
      <c r="AI157" s="97" cm="1">
        <f t="array" ref="AI157">IF(AI$7="",0,_xll.GetData(AI$7,$AQ157))</f>
        <v>0</v>
      </c>
      <c r="AJ157" s="97" cm="1">
        <f t="array" ref="AJ157">IF(AJ$7="",0,_xll.GetData(AJ$7,$AQ157))</f>
        <v>0</v>
      </c>
      <c r="AK157" s="97" cm="1">
        <f t="array" ref="AK157">IF(AK$7="",0,_xll.GetData(AK$7,$AQ157))</f>
        <v>0</v>
      </c>
      <c r="AL157" s="97" cm="1">
        <f t="array" ref="AL157">IF(AL$7="",0,_xll.GetData(AL$7,$AQ157))</f>
        <v>0</v>
      </c>
      <c r="AM157" s="97" cm="1">
        <f t="array" ref="AM157">IF(AM$7="",0,_xll.GetData(AM$7,$AQ157))</f>
        <v>0</v>
      </c>
      <c r="AN157" s="97" cm="1">
        <f t="array" ref="AN157">IF(AN$7="",0,_xll.GetData(AN$7,$AQ157))</f>
        <v>0</v>
      </c>
      <c r="AO157" s="46"/>
      <c r="AP157" s="111">
        <f>AP159</f>
        <v>45</v>
      </c>
      <c r="AQ157" s="111" t="str">
        <f>"Dept="&amp;AU157&amp;" And Acct="&amp;AV157</f>
        <v>Dept=0 And Acct=60600</v>
      </c>
      <c r="AR157" s="167" t="str">
        <f>IF(OR(AU157=0,AV157=0),"NoSave","[Save]")</f>
        <v>NoSave</v>
      </c>
      <c r="AS157" s="167"/>
      <c r="AT157" s="167"/>
      <c r="AU157" s="111">
        <f>AU159</f>
        <v>0</v>
      </c>
      <c r="AV157" s="111">
        <f>AV159</f>
        <v>60600</v>
      </c>
      <c r="AW157" s="111">
        <v>1</v>
      </c>
      <c r="AX157" s="280">
        <f>IF(K$20="CYA",0,K157)</f>
        <v>0</v>
      </c>
      <c r="AY157" s="280">
        <f t="shared" ref="AY157:AY158" si="325">IF(L$20="CYA",0,L157)</f>
        <v>0</v>
      </c>
      <c r="AZ157" s="280">
        <f t="shared" ref="AZ157:AZ158" si="326">IF(M$20="CYA",0,M157)</f>
        <v>0</v>
      </c>
      <c r="BA157" s="280">
        <f t="shared" ref="BA157:BA158" si="327">IF(N$20="CYA",0,N157)</f>
        <v>0</v>
      </c>
      <c r="BB157" s="280">
        <f t="shared" ref="BB157:BB158" si="328">IF(O$20="CYA",0,O157)</f>
        <v>0</v>
      </c>
      <c r="BC157" s="280">
        <f t="shared" ref="BC157:BC158" si="329">IF(P$20="CYA",0,P157)</f>
        <v>0</v>
      </c>
      <c r="BD157" s="280">
        <f t="shared" ref="BD157:BD158" si="330">IF(Q$20="CYA",0,Q157)</f>
        <v>0</v>
      </c>
      <c r="BE157" s="280">
        <f t="shared" ref="BE157:BE158" si="331">IF(R$20="CYA",0,R157)</f>
        <v>0</v>
      </c>
      <c r="BF157" s="280">
        <f t="shared" ref="BF157:BF158" si="332">IF(S$20="CYA",0,S157)</f>
        <v>0</v>
      </c>
      <c r="BG157" s="280">
        <f t="shared" ref="BG157:BG158" si="333">IF(T$20="CYA",0,T157)</f>
        <v>0</v>
      </c>
      <c r="BH157" s="280">
        <f t="shared" ref="BH157:BH158" si="334">IF(U$20="CYA",0,U157)</f>
        <v>0</v>
      </c>
      <c r="BI157" s="280">
        <f t="shared" ref="BI157:BI158" si="335">IF(V$20="CYA",0,V157)</f>
        <v>0</v>
      </c>
      <c r="BJ157" s="90">
        <f>CB157</f>
        <v>0</v>
      </c>
      <c r="BK157" s="86">
        <v>0</v>
      </c>
    </row>
    <row r="158" spans="1:63" ht="18" thickTop="1" thickBot="1">
      <c r="A158" s="113"/>
      <c r="B158" s="106"/>
      <c r="C158" s="112" t="str">
        <f>C157</f>
        <v>ACCT.FSDetail='E_SalariesContract'</v>
      </c>
      <c r="D158" s="110" t="s">
        <v>411</v>
      </c>
      <c r="E158" s="112"/>
      <c r="F158" s="58"/>
      <c r="G158" s="95" t="s">
        <v>329</v>
      </c>
      <c r="H158" s="95"/>
      <c r="I158" s="95"/>
      <c r="J158" s="67"/>
      <c r="K158" s="96">
        <v>0</v>
      </c>
      <c r="L158" s="96">
        <v>0</v>
      </c>
      <c r="M158" s="96">
        <v>0</v>
      </c>
      <c r="N158" s="96">
        <v>0</v>
      </c>
      <c r="O158" s="96">
        <v>0</v>
      </c>
      <c r="P158" s="96">
        <v>0</v>
      </c>
      <c r="Q158" s="96">
        <v>0</v>
      </c>
      <c r="R158" s="96">
        <v>0</v>
      </c>
      <c r="S158" s="89">
        <f t="shared" si="324"/>
        <v>0</v>
      </c>
      <c r="T158" s="89">
        <f t="shared" si="324"/>
        <v>0</v>
      </c>
      <c r="U158" s="89">
        <f t="shared" si="324"/>
        <v>0</v>
      </c>
      <c r="V158" s="89">
        <f t="shared" si="324"/>
        <v>0</v>
      </c>
      <c r="W158" s="96">
        <f>SUM(K158:V158)</f>
        <v>0</v>
      </c>
      <c r="X158" s="96"/>
      <c r="Y158" s="96"/>
      <c r="Z158" s="96"/>
      <c r="AA158" s="96"/>
      <c r="AB158" s="96"/>
      <c r="AC158" s="96" cm="1">
        <f t="array" ref="AC158">IF(AC$8="",0,_xll.GetData(AC$8,$AQ158))</f>
        <v>0</v>
      </c>
      <c r="AD158" s="96" cm="1">
        <f t="array" ref="AD158">IF(AD$8="",0,_xll.GetData(AD$8,$AQ158))</f>
        <v>0</v>
      </c>
      <c r="AE158" s="96" cm="1">
        <f t="array" ref="AE158">IF(AE$8="",0,_xll.GetData(AE$8,$AQ158))</f>
        <v>0</v>
      </c>
      <c r="AF158" s="96" cm="1">
        <f t="array" ref="AF158">IF(AF$8="",0,_xll.GetData(AF$8,$AQ158))</f>
        <v>0</v>
      </c>
      <c r="AG158" s="96" cm="1">
        <f t="array" ref="AG158">IF(AG$8="",0,_xll.GetData(AG$8,$AQ158))</f>
        <v>0</v>
      </c>
      <c r="AH158" s="96" cm="1">
        <f t="array" ref="AH158">IF(AH$8="",0,_xll.GetData(AH$8,$AQ158))</f>
        <v>0</v>
      </c>
      <c r="AI158" s="96" cm="1">
        <f t="array" ref="AI158">IF(AI$8="",0,_xll.GetData(AI$8,$AQ158))</f>
        <v>0</v>
      </c>
      <c r="AJ158" s="96" cm="1">
        <f t="array" ref="AJ158">IF(AJ$8="",0,_xll.GetData(AJ$8,$AQ158))</f>
        <v>0</v>
      </c>
      <c r="AK158" s="96" cm="1">
        <f t="array" ref="AK158">IF(AK$8="",0,_xll.GetData(AK$8,$AQ158))</f>
        <v>0</v>
      </c>
      <c r="AL158" s="96" cm="1">
        <f t="array" ref="AL158">IF(AL$8="",0,_xll.GetData(AL$8,$AQ158))</f>
        <v>0</v>
      </c>
      <c r="AM158" s="96" cm="1">
        <f t="array" ref="AM158">IF(AM$8="",0,_xll.GetData(AM$8,$AQ158))</f>
        <v>0</v>
      </c>
      <c r="AN158" s="96" cm="1">
        <f t="array" ref="AN158">IF(AN$8="",0,_xll.GetData(AN$8,$AQ158))</f>
        <v>0</v>
      </c>
      <c r="AO158" s="69"/>
      <c r="AP158" s="111">
        <f>AP159</f>
        <v>45</v>
      </c>
      <c r="AQ158" s="111" t="str">
        <f>"Dept="&amp;AU158&amp;" And Acct="&amp;AV158</f>
        <v>Dept=0 And Acct=60600</v>
      </c>
      <c r="AR158" s="167"/>
      <c r="AS158" s="167" t="str">
        <f>IF(OR(AU158=0,AV158=0),"NoSave","[Save]")</f>
        <v>NoSave</v>
      </c>
      <c r="AT158" s="167"/>
      <c r="AU158" s="111">
        <f>AU159</f>
        <v>0</v>
      </c>
      <c r="AV158" s="111">
        <f>AV159</f>
        <v>60600</v>
      </c>
      <c r="AW158" s="111">
        <v>1</v>
      </c>
      <c r="AX158" s="281">
        <f>IF(K$20="CYA",0,K158)</f>
        <v>0</v>
      </c>
      <c r="AY158" s="281">
        <f t="shared" si="325"/>
        <v>0</v>
      </c>
      <c r="AZ158" s="281">
        <f t="shared" si="326"/>
        <v>0</v>
      </c>
      <c r="BA158" s="281">
        <f t="shared" si="327"/>
        <v>0</v>
      </c>
      <c r="BB158" s="281">
        <f t="shared" si="328"/>
        <v>0</v>
      </c>
      <c r="BC158" s="281">
        <f t="shared" si="329"/>
        <v>0</v>
      </c>
      <c r="BD158" s="281">
        <f t="shared" si="330"/>
        <v>0</v>
      </c>
      <c r="BE158" s="281">
        <f t="shared" si="331"/>
        <v>0</v>
      </c>
      <c r="BF158" s="281">
        <f t="shared" si="332"/>
        <v>0</v>
      </c>
      <c r="BG158" s="281">
        <f t="shared" si="333"/>
        <v>0</v>
      </c>
      <c r="BH158" s="281">
        <f t="shared" si="334"/>
        <v>0</v>
      </c>
      <c r="BI158" s="281">
        <f t="shared" si="335"/>
        <v>0</v>
      </c>
      <c r="BJ158" s="89">
        <f>CB158</f>
        <v>0</v>
      </c>
      <c r="BK158" s="96">
        <v>0</v>
      </c>
    </row>
    <row r="159" spans="1:63" ht="17.399999999999999" thickTop="1">
      <c r="A159" s="105"/>
      <c r="B159" s="114" t="str">
        <f>C156</f>
        <v>E_SalariesContract</v>
      </c>
      <c r="C159" s="112" t="s">
        <v>278</v>
      </c>
      <c r="D159" s="110"/>
      <c r="E159" s="112"/>
      <c r="F159" s="74"/>
      <c r="G159" s="100" t="str">
        <f>"   Total "&amp;G156</f>
        <v xml:space="preserve">   Total Contract Labor</v>
      </c>
      <c r="H159" s="100"/>
      <c r="I159" s="100"/>
      <c r="J159" s="116"/>
      <c r="K159" s="116">
        <f>IF(K$20="CYA",K156,K156*(1+K157)+K158)</f>
        <v>174507.13</v>
      </c>
      <c r="L159" s="116">
        <f>IF(L$20="CYA",L156,L156*(1+L157)+L158)</f>
        <v>217287.6</v>
      </c>
      <c r="M159" s="116">
        <f>IF(M$20="CYA",M156,M156*(1+M157)+M158)</f>
        <v>197288.03</v>
      </c>
      <c r="N159" s="116">
        <f>IF(N$20="CYA",N156,N156*(1+N157)+N158)</f>
        <v>233737.77</v>
      </c>
      <c r="O159" s="116">
        <f>IF(O$20="CYA",O156,O156*(1+O157)+O158)</f>
        <v>199124.33</v>
      </c>
      <c r="P159" s="116">
        <f>IF(P$20="CYA",P156,P156*(1+P157)+P158)</f>
        <v>83728.040548468634</v>
      </c>
      <c r="Q159" s="116">
        <f>IF(Q$20="CYA",Q156,Q156*(1+Q157)+Q158)</f>
        <v>85617.869271217409</v>
      </c>
      <c r="R159" s="116">
        <f>IF(R$20="CYA",R156,R156*(1+R157)+R158)</f>
        <v>87081.971018435186</v>
      </c>
      <c r="S159" s="116">
        <f>IF(S$20="CYA",S156,S156*(1+S157)+S158)</f>
        <v>87951.475844750836</v>
      </c>
      <c r="T159" s="116">
        <f>IF(T$20="CYA",T156,T156*(1+T157)+T158)</f>
        <v>91252.446704469374</v>
      </c>
      <c r="U159" s="116">
        <f>IF(U$20="CYA",U156,U156*(1+U157)+U158)</f>
        <v>90760.349921591755</v>
      </c>
      <c r="V159" s="116">
        <f>IF(V$20="CYA",V156,V156*(1+V157)+V158)</f>
        <v>92860.111125401963</v>
      </c>
      <c r="W159" s="116">
        <f>SUM(K159:V159)</f>
        <v>1641197.1244343352</v>
      </c>
      <c r="X159" s="116"/>
      <c r="Y159" s="116">
        <f>SUM(Y156:Y158)</f>
        <v>1024449.2280396493</v>
      </c>
      <c r="Z159" s="116">
        <f>Y159-W159</f>
        <v>-616747.89639468584</v>
      </c>
      <c r="AA159" s="102">
        <f>IF(Y159=0,0,Z159/Y159)</f>
        <v>-0.60202875800382349</v>
      </c>
      <c r="AB159" s="116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67"/>
      <c r="AP159" s="111">
        <f>ROW(Control!D45)</f>
        <v>45</v>
      </c>
      <c r="AQ159" s="111"/>
      <c r="AR159" s="167"/>
      <c r="AS159" s="167"/>
      <c r="AT159" s="167" t="str">
        <f>IF(OR(AU159=0,AV159=0),"NoSave","[Save]")</f>
        <v>NoSave</v>
      </c>
      <c r="AU159" s="111" cm="1">
        <f t="array" ref="AU159">INDEX(Control!G$1:G$9997,$AP159)</f>
        <v>0</v>
      </c>
      <c r="AV159" s="111" cm="1">
        <f t="array" ref="AV159">INDEX(Control!I$1:I$9997,$AP159)</f>
        <v>60600</v>
      </c>
      <c r="AW159" s="111">
        <v>1</v>
      </c>
      <c r="AX159" s="281">
        <f>IF(K$20="CYA",0,K159-K156)</f>
        <v>0</v>
      </c>
      <c r="AY159" s="281">
        <f t="shared" ref="AY159" si="336">IF(L$20="CYA",0,L159-L156)</f>
        <v>0</v>
      </c>
      <c r="AZ159" s="281">
        <f t="shared" ref="AZ159" si="337">IF(M$20="CYA",0,M159-M156)</f>
        <v>0</v>
      </c>
      <c r="BA159" s="281">
        <f t="shared" ref="BA159" si="338">IF(N$20="CYA",0,N159-N156)</f>
        <v>0</v>
      </c>
      <c r="BB159" s="281">
        <f t="shared" ref="BB159" si="339">IF(O$20="CYA",0,O159-O156)</f>
        <v>0</v>
      </c>
      <c r="BC159" s="281">
        <f t="shared" ref="BC159" si="340">IF(P$20="CYA",0,P159-P156)</f>
        <v>0</v>
      </c>
      <c r="BD159" s="281">
        <f t="shared" ref="BD159" si="341">IF(Q$20="CYA",0,Q159-Q156)</f>
        <v>0</v>
      </c>
      <c r="BE159" s="281">
        <f t="shared" ref="BE159" si="342">IF(R$20="CYA",0,R159-R156)</f>
        <v>0</v>
      </c>
      <c r="BF159" s="281">
        <f t="shared" ref="BF159" si="343">IF(S$20="CYA",0,S159-S156)</f>
        <v>0</v>
      </c>
      <c r="BG159" s="281">
        <f t="shared" ref="BG159" si="344">IF(T$20="CYA",0,T159-T156)</f>
        <v>0</v>
      </c>
      <c r="BH159" s="281">
        <f t="shared" ref="BH159" si="345">IF(U$20="CYA",0,U159-U156)</f>
        <v>0</v>
      </c>
      <c r="BI159" s="281">
        <f t="shared" ref="BI159" si="346">IF(V$20="CYA",0,V159-V156)</f>
        <v>0</v>
      </c>
    </row>
    <row r="160" spans="1:63" s="55" customFormat="1" ht="16.8">
      <c r="A160" s="105"/>
      <c r="B160" s="114"/>
      <c r="C160" s="112"/>
      <c r="D160" s="110"/>
      <c r="E160" s="112"/>
      <c r="F160" s="74"/>
      <c r="G160" s="100" t="s">
        <v>505</v>
      </c>
      <c r="H160" s="100"/>
      <c r="I160" s="100"/>
      <c r="J160" s="147"/>
      <c r="K160" s="149">
        <f>IF(K155=0,0,K159/K155)</f>
        <v>272.54662736609822</v>
      </c>
      <c r="L160" s="149">
        <f>IF(L155=0,0,L159/L155)</f>
        <v>287.93194523157285</v>
      </c>
      <c r="M160" s="149">
        <f>IF(M155=0,0,M159/M155)</f>
        <v>267.32189143050391</v>
      </c>
      <c r="N160" s="149">
        <f>IF(N155=0,0,N159/N155)</f>
        <v>286.22417289856486</v>
      </c>
      <c r="O160" s="149">
        <f>IF(O155=0,0,O159/O155)</f>
        <v>258.67636770835651</v>
      </c>
      <c r="P160" s="149">
        <f>IF(P155=0,0,P159/P155)</f>
        <v>150.49934184962913</v>
      </c>
      <c r="Q160" s="149">
        <f>IF(Q155=0,0,Q159/Q155)</f>
        <v>148.19769130759369</v>
      </c>
      <c r="R160" s="149">
        <f>IF(R155=0,0,R159/R155)</f>
        <v>144.25803196542464</v>
      </c>
      <c r="S160" s="149">
        <f>IF(S155=0,0,S159/S155)</f>
        <v>144.74999261585435</v>
      </c>
      <c r="T160" s="149">
        <f>IF(T155=0,0,T159/T155)</f>
        <v>142.40986549056706</v>
      </c>
      <c r="U160" s="149">
        <f>IF(U155=0,0,U159/U155)</f>
        <v>141.47251160375541</v>
      </c>
      <c r="V160" s="149">
        <f>IF(V155=0,0,V159/V155)</f>
        <v>139.50741419073174</v>
      </c>
      <c r="W160" s="149">
        <f>IF(W155=0,0,W159/W155)</f>
        <v>204.82641191103141</v>
      </c>
      <c r="X160" s="149"/>
      <c r="Y160" s="149">
        <f>IF(Y155=0,0,Y159/Y155)</f>
        <v>88.307055364801002</v>
      </c>
      <c r="Z160" s="147"/>
      <c r="AA160" s="102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67"/>
      <c r="AP160" s="111"/>
      <c r="AQ160" s="111"/>
      <c r="AR160" s="167"/>
      <c r="AS160" s="167"/>
      <c r="AT160" s="167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</row>
    <row r="161" spans="1:63" ht="16.8">
      <c r="A161" s="105"/>
      <c r="B161" s="106"/>
      <c r="C161" s="112"/>
      <c r="D161" s="110"/>
      <c r="E161" s="112"/>
      <c r="F161" s="74"/>
      <c r="G161" s="95"/>
      <c r="H161" s="95"/>
      <c r="I161" s="95"/>
      <c r="J161" s="67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67"/>
      <c r="AR161" s="167"/>
      <c r="AS161" s="167"/>
      <c r="AT161" s="167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</row>
    <row r="162" spans="1:63" ht="17.399999999999999" thickBot="1">
      <c r="A162" s="105" t="str">
        <f>C162</f>
        <v>E_ProFees</v>
      </c>
      <c r="B162" s="106"/>
      <c r="C162" s="112" t="s">
        <v>341</v>
      </c>
      <c r="D162" s="110"/>
      <c r="E162" s="112"/>
      <c r="F162" s="74"/>
      <c r="G162" s="95" t="s">
        <v>235</v>
      </c>
      <c r="H162" s="95"/>
      <c r="I162" s="95"/>
      <c r="J162" s="67"/>
      <c r="K162" s="96">
        <v>2019974.53</v>
      </c>
      <c r="L162" s="96">
        <v>2136170.8199999998</v>
      </c>
      <c r="M162" s="96">
        <v>2177808.88</v>
      </c>
      <c r="N162" s="96">
        <v>2128963.92</v>
      </c>
      <c r="O162" s="96">
        <v>2247014.77</v>
      </c>
      <c r="P162" s="96">
        <v>2112098.8818665617</v>
      </c>
      <c r="Q162" s="96">
        <v>2550641.7429247443</v>
      </c>
      <c r="R162" s="96">
        <v>2414638.4908246398</v>
      </c>
      <c r="S162" s="96">
        <v>2465125.0040625143</v>
      </c>
      <c r="T162" s="96">
        <v>2457438.8022390055</v>
      </c>
      <c r="U162" s="96">
        <v>2511397.0108011798</v>
      </c>
      <c r="V162" s="96">
        <v>6186933.3565110192</v>
      </c>
      <c r="W162" s="96">
        <f>SUM(K162:V162)</f>
        <v>31408206.209229663</v>
      </c>
      <c r="X162" s="96"/>
      <c r="Y162" s="96">
        <v>38043766.430562384</v>
      </c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R162" s="167"/>
      <c r="AS162" s="167"/>
      <c r="AT162" s="167"/>
      <c r="AU162" s="111"/>
      <c r="AV162" s="111"/>
      <c r="AW162" s="111">
        <v>1</v>
      </c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</row>
    <row r="163" spans="1:63" ht="18" thickTop="1" thickBot="1">
      <c r="A163" s="105"/>
      <c r="B163" s="106"/>
      <c r="C163" s="112" t="str">
        <f>"ACCT.FSDetail='"&amp;C162&amp;"'"</f>
        <v>ACCT.FSDetail='E_ProFees'</v>
      </c>
      <c r="D163" s="110" t="s">
        <v>411</v>
      </c>
      <c r="E163" s="112"/>
      <c r="F163" s="58"/>
      <c r="G163" s="95" t="s">
        <v>328</v>
      </c>
      <c r="H163" s="95"/>
      <c r="I163" s="95"/>
      <c r="J163" s="46"/>
      <c r="K163" s="86">
        <v>0</v>
      </c>
      <c r="L163" s="86">
        <v>0</v>
      </c>
      <c r="M163" s="86">
        <v>0</v>
      </c>
      <c r="N163" s="86">
        <v>0</v>
      </c>
      <c r="O163" s="86">
        <v>0</v>
      </c>
      <c r="P163" s="86">
        <v>0</v>
      </c>
      <c r="Q163" s="86">
        <v>0</v>
      </c>
      <c r="R163" s="86">
        <v>0</v>
      </c>
      <c r="S163" s="90">
        <f t="shared" ref="S163:V164" si="347">AK163</f>
        <v>0</v>
      </c>
      <c r="T163" s="90">
        <f t="shared" si="347"/>
        <v>0</v>
      </c>
      <c r="U163" s="90">
        <f t="shared" si="347"/>
        <v>0</v>
      </c>
      <c r="V163" s="90">
        <f t="shared" si="347"/>
        <v>0</v>
      </c>
      <c r="W163" s="97">
        <f>IF(W165=0,0,1-(SUM(W164,W162)/W165))</f>
        <v>0</v>
      </c>
      <c r="X163" s="97"/>
      <c r="Y163" s="97"/>
      <c r="Z163" s="97"/>
      <c r="AA163" s="97"/>
      <c r="AB163" s="97"/>
      <c r="AC163" s="97" cm="1">
        <f t="array" ref="AC163">IF(AC$7="",0,_xll.GetData(AC$7,$AQ163))</f>
        <v>0</v>
      </c>
      <c r="AD163" s="97" cm="1">
        <f t="array" ref="AD163">IF(AD$7="",0,_xll.GetData(AD$7,$AQ163))</f>
        <v>0</v>
      </c>
      <c r="AE163" s="97" cm="1">
        <f t="array" ref="AE163">IF(AE$7="",0,_xll.GetData(AE$7,$AQ163))</f>
        <v>0</v>
      </c>
      <c r="AF163" s="97" cm="1">
        <f t="array" ref="AF163">IF(AF$7="",0,_xll.GetData(AF$7,$AQ163))</f>
        <v>0</v>
      </c>
      <c r="AG163" s="97" cm="1">
        <f t="array" ref="AG163">IF(AG$7="",0,_xll.GetData(AG$7,$AQ163))</f>
        <v>0</v>
      </c>
      <c r="AH163" s="97" cm="1">
        <f t="array" ref="AH163">IF(AH$7="",0,_xll.GetData(AH$7,$AQ163))</f>
        <v>0</v>
      </c>
      <c r="AI163" s="97" cm="1">
        <f t="array" ref="AI163">IF(AI$7="",0,_xll.GetData(AI$7,$AQ163))</f>
        <v>0</v>
      </c>
      <c r="AJ163" s="97" cm="1">
        <f t="array" ref="AJ163">IF(AJ$7="",0,_xll.GetData(AJ$7,$AQ163))</f>
        <v>0</v>
      </c>
      <c r="AK163" s="97" cm="1">
        <f t="array" ref="AK163">IF(AK$7="",0,_xll.GetData(AK$7,$AQ163))</f>
        <v>0</v>
      </c>
      <c r="AL163" s="97" cm="1">
        <f t="array" ref="AL163">IF(AL$7="",0,_xll.GetData(AL$7,$AQ163))</f>
        <v>0</v>
      </c>
      <c r="AM163" s="97" cm="1">
        <f t="array" ref="AM163">IF(AM$7="",0,_xll.GetData(AM$7,$AQ163))</f>
        <v>0</v>
      </c>
      <c r="AN163" s="97" cm="1">
        <f t="array" ref="AN163">IF(AN$7="",0,_xll.GetData(AN$7,$AQ163))</f>
        <v>0</v>
      </c>
      <c r="AO163" s="46"/>
      <c r="AP163" s="111">
        <f>AP165</f>
        <v>46</v>
      </c>
      <c r="AQ163" s="111" t="str">
        <f>"Dept="&amp;AU163&amp;" And Acct="&amp;AV163</f>
        <v>Dept=0 And Acct=63140</v>
      </c>
      <c r="AR163" s="167" t="str">
        <f>IF(OR(AU163=0,AV163=0),"NoSave","[Save]")</f>
        <v>NoSave</v>
      </c>
      <c r="AS163" s="167"/>
      <c r="AT163" s="167"/>
      <c r="AU163" s="111">
        <f>AU165</f>
        <v>0</v>
      </c>
      <c r="AV163" s="111">
        <f>AV165</f>
        <v>63140</v>
      </c>
      <c r="AW163" s="111">
        <v>1</v>
      </c>
      <c r="AX163" s="280">
        <f>IF(K$20="CYA",0,K163)</f>
        <v>0</v>
      </c>
      <c r="AY163" s="280">
        <f t="shared" ref="AY163:AY164" si="348">IF(L$20="CYA",0,L163)</f>
        <v>0</v>
      </c>
      <c r="AZ163" s="280">
        <f t="shared" ref="AZ163:AZ164" si="349">IF(M$20="CYA",0,M163)</f>
        <v>0</v>
      </c>
      <c r="BA163" s="280">
        <f t="shared" ref="BA163:BA164" si="350">IF(N$20="CYA",0,N163)</f>
        <v>0</v>
      </c>
      <c r="BB163" s="280">
        <f t="shared" ref="BB163:BB164" si="351">IF(O$20="CYA",0,O163)</f>
        <v>0</v>
      </c>
      <c r="BC163" s="280">
        <f t="shared" ref="BC163:BC164" si="352">IF(P$20="CYA",0,P163)</f>
        <v>0</v>
      </c>
      <c r="BD163" s="280">
        <f t="shared" ref="BD163:BD164" si="353">IF(Q$20="CYA",0,Q163)</f>
        <v>0</v>
      </c>
      <c r="BE163" s="280">
        <f t="shared" ref="BE163:BE164" si="354">IF(R$20="CYA",0,R163)</f>
        <v>0</v>
      </c>
      <c r="BF163" s="280">
        <f t="shared" ref="BF163:BF164" si="355">IF(S$20="CYA",0,S163)</f>
        <v>0</v>
      </c>
      <c r="BG163" s="280">
        <f t="shared" ref="BG163:BG164" si="356">IF(T$20="CYA",0,T163)</f>
        <v>0</v>
      </c>
      <c r="BH163" s="280">
        <f t="shared" ref="BH163:BH164" si="357">IF(U$20="CYA",0,U163)</f>
        <v>0</v>
      </c>
      <c r="BI163" s="280">
        <f t="shared" ref="BI163:BI164" si="358">IF(V$20="CYA",0,V163)</f>
        <v>0</v>
      </c>
      <c r="BJ163" s="90">
        <f>CB163</f>
        <v>0</v>
      </c>
      <c r="BK163" s="86">
        <v>0</v>
      </c>
    </row>
    <row r="164" spans="1:63" ht="18" thickTop="1" thickBot="1">
      <c r="A164" s="113"/>
      <c r="B164" s="106"/>
      <c r="C164" s="112" t="str">
        <f>C163</f>
        <v>ACCT.FSDetail='E_ProFees'</v>
      </c>
      <c r="D164" s="110" t="s">
        <v>411</v>
      </c>
      <c r="E164" s="112"/>
      <c r="F164" s="58"/>
      <c r="G164" s="95" t="s">
        <v>329</v>
      </c>
      <c r="H164" s="95"/>
      <c r="I164" s="95"/>
      <c r="J164" s="67"/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v>0</v>
      </c>
      <c r="Q164" s="96">
        <v>0</v>
      </c>
      <c r="R164" s="96">
        <v>0</v>
      </c>
      <c r="S164" s="89">
        <f t="shared" si="347"/>
        <v>0</v>
      </c>
      <c r="T164" s="89">
        <f t="shared" si="347"/>
        <v>0</v>
      </c>
      <c r="U164" s="89">
        <f t="shared" si="347"/>
        <v>0</v>
      </c>
      <c r="V164" s="89">
        <f t="shared" si="347"/>
        <v>0</v>
      </c>
      <c r="W164" s="96">
        <f>SUM(K164:V164)</f>
        <v>0</v>
      </c>
      <c r="X164" s="96"/>
      <c r="Y164" s="96"/>
      <c r="Z164" s="96"/>
      <c r="AA164" s="96"/>
      <c r="AB164" s="96"/>
      <c r="AC164" s="96" cm="1">
        <f t="array" ref="AC164">IF(AC$8="",0,_xll.GetData(AC$8,$AQ164))</f>
        <v>0</v>
      </c>
      <c r="AD164" s="96" cm="1">
        <f t="array" ref="AD164">IF(AD$8="",0,_xll.GetData(AD$8,$AQ164))</f>
        <v>0</v>
      </c>
      <c r="AE164" s="96" cm="1">
        <f t="array" ref="AE164">IF(AE$8="",0,_xll.GetData(AE$8,$AQ164))</f>
        <v>0</v>
      </c>
      <c r="AF164" s="96" cm="1">
        <f t="array" ref="AF164">IF(AF$8="",0,_xll.GetData(AF$8,$AQ164))</f>
        <v>0</v>
      </c>
      <c r="AG164" s="96" cm="1">
        <f t="array" ref="AG164">IF(AG$8="",0,_xll.GetData(AG$8,$AQ164))</f>
        <v>0</v>
      </c>
      <c r="AH164" s="96" cm="1">
        <f t="array" ref="AH164">IF(AH$8="",0,_xll.GetData(AH$8,$AQ164))</f>
        <v>0</v>
      </c>
      <c r="AI164" s="96" cm="1">
        <f t="array" ref="AI164">IF(AI$8="",0,_xll.GetData(AI$8,$AQ164))</f>
        <v>0</v>
      </c>
      <c r="AJ164" s="96" cm="1">
        <f t="array" ref="AJ164">IF(AJ$8="",0,_xll.GetData(AJ$8,$AQ164))</f>
        <v>0</v>
      </c>
      <c r="AK164" s="96" cm="1">
        <f t="array" ref="AK164">IF(AK$8="",0,_xll.GetData(AK$8,$AQ164))</f>
        <v>0</v>
      </c>
      <c r="AL164" s="96" cm="1">
        <f t="array" ref="AL164">IF(AL$8="",0,_xll.GetData(AL$8,$AQ164))</f>
        <v>0</v>
      </c>
      <c r="AM164" s="96" cm="1">
        <f t="array" ref="AM164">IF(AM$8="",0,_xll.GetData(AM$8,$AQ164))</f>
        <v>0</v>
      </c>
      <c r="AN164" s="96" cm="1">
        <f t="array" ref="AN164">IF(AN$8="",0,_xll.GetData(AN$8,$AQ164))</f>
        <v>0</v>
      </c>
      <c r="AO164" s="69"/>
      <c r="AP164" s="111">
        <f>AP165</f>
        <v>46</v>
      </c>
      <c r="AQ164" s="111" t="str">
        <f>"Dept="&amp;AU164&amp;" And Acct="&amp;AV164</f>
        <v>Dept=0 And Acct=63140</v>
      </c>
      <c r="AR164" s="167"/>
      <c r="AS164" s="167" t="str">
        <f>IF(OR(AU164=0,AV164=0),"NoSave","[Save]")</f>
        <v>NoSave</v>
      </c>
      <c r="AT164" s="167"/>
      <c r="AU164" s="111">
        <f>AU165</f>
        <v>0</v>
      </c>
      <c r="AV164" s="111">
        <f>AV165</f>
        <v>63140</v>
      </c>
      <c r="AW164" s="111">
        <v>1</v>
      </c>
      <c r="AX164" s="281">
        <f>IF(K$20="CYA",0,K164)</f>
        <v>0</v>
      </c>
      <c r="AY164" s="281">
        <f t="shared" si="348"/>
        <v>0</v>
      </c>
      <c r="AZ164" s="281">
        <f t="shared" si="349"/>
        <v>0</v>
      </c>
      <c r="BA164" s="281">
        <f t="shared" si="350"/>
        <v>0</v>
      </c>
      <c r="BB164" s="281">
        <f t="shared" si="351"/>
        <v>0</v>
      </c>
      <c r="BC164" s="281">
        <f t="shared" si="352"/>
        <v>0</v>
      </c>
      <c r="BD164" s="281">
        <f t="shared" si="353"/>
        <v>0</v>
      </c>
      <c r="BE164" s="281">
        <f t="shared" si="354"/>
        <v>0</v>
      </c>
      <c r="BF164" s="281">
        <f t="shared" si="355"/>
        <v>0</v>
      </c>
      <c r="BG164" s="281">
        <f t="shared" si="356"/>
        <v>0</v>
      </c>
      <c r="BH164" s="281">
        <f t="shared" si="357"/>
        <v>0</v>
      </c>
      <c r="BI164" s="281">
        <f t="shared" si="358"/>
        <v>0</v>
      </c>
      <c r="BJ164" s="89">
        <f>CB164</f>
        <v>0</v>
      </c>
      <c r="BK164" s="96">
        <v>0</v>
      </c>
    </row>
    <row r="165" spans="1:63" ht="17.399999999999999" thickTop="1">
      <c r="A165" s="105"/>
      <c r="B165" s="114" t="str">
        <f>C162</f>
        <v>E_ProFees</v>
      </c>
      <c r="C165" s="112" t="s">
        <v>278</v>
      </c>
      <c r="D165" s="110"/>
      <c r="E165" s="112"/>
      <c r="F165" s="74"/>
      <c r="G165" s="100" t="str">
        <f>"   Total "&amp;G162</f>
        <v xml:space="preserve">   Total Professional Fees</v>
      </c>
      <c r="H165" s="100"/>
      <c r="I165" s="100"/>
      <c r="J165" s="116"/>
      <c r="K165" s="116">
        <f>IF(K$20="CYA",K162,K162*(1+K163)+K164)</f>
        <v>2019974.53</v>
      </c>
      <c r="L165" s="116">
        <f>IF(L$20="CYA",L162,L162*(1+L163)+L164)</f>
        <v>2136170.8199999998</v>
      </c>
      <c r="M165" s="116">
        <f>IF(M$20="CYA",M162,M162*(1+M163)+M164)</f>
        <v>2177808.88</v>
      </c>
      <c r="N165" s="116">
        <f>IF(N$20="CYA",N162,N162*(1+N163)+N164)</f>
        <v>2128963.92</v>
      </c>
      <c r="O165" s="116">
        <f>IF(O$20="CYA",O162,O162*(1+O163)+O164)</f>
        <v>2247014.77</v>
      </c>
      <c r="P165" s="116">
        <f>IF(P$20="CYA",P162,P162*(1+P163)+P164)</f>
        <v>2112098.8818665617</v>
      </c>
      <c r="Q165" s="116">
        <f>IF(Q$20="CYA",Q162,Q162*(1+Q163)+Q164)</f>
        <v>2550641.7429247443</v>
      </c>
      <c r="R165" s="116">
        <f>IF(R$20="CYA",R162,R162*(1+R163)+R164)</f>
        <v>2414638.4908246398</v>
      </c>
      <c r="S165" s="116">
        <f>IF(S$20="CYA",S162,S162*(1+S163)+S164)</f>
        <v>2465125.0040625143</v>
      </c>
      <c r="T165" s="116">
        <f>IF(T$20="CYA",T162,T162*(1+T163)+T164)</f>
        <v>2457438.8022390055</v>
      </c>
      <c r="U165" s="116">
        <f>IF(U$20="CYA",U162,U162*(1+U163)+U164)</f>
        <v>2511397.0108011798</v>
      </c>
      <c r="V165" s="116">
        <f>IF(V$20="CYA",V162,V162*(1+V163)+V164)</f>
        <v>6186933.3565110192</v>
      </c>
      <c r="W165" s="116">
        <f>SUM(K165:V165)</f>
        <v>31408206.209229663</v>
      </c>
      <c r="X165" s="116"/>
      <c r="Y165" s="116">
        <f>SUM(Y162:Y164)</f>
        <v>38043766.430562384</v>
      </c>
      <c r="Z165" s="116">
        <f>Y165-W165</f>
        <v>6635560.2213327214</v>
      </c>
      <c r="AA165" s="102">
        <f>IF(Y165=0,0,Z165/Y165)</f>
        <v>0.17441911892304274</v>
      </c>
      <c r="AB165" s="116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67"/>
      <c r="AP165" s="111">
        <f>ROW(Control!D46)</f>
        <v>46</v>
      </c>
      <c r="AQ165" s="111"/>
      <c r="AR165" s="167"/>
      <c r="AS165" s="167"/>
      <c r="AT165" s="167" t="str">
        <f>IF(OR(AU165=0,AV165=0),"NoSave","[Save]")</f>
        <v>NoSave</v>
      </c>
      <c r="AU165" s="111" cm="1">
        <f t="array" ref="AU165">INDEX(Control!G$1:G$9997,$AP165)</f>
        <v>0</v>
      </c>
      <c r="AV165" s="111" cm="1">
        <f t="array" ref="AV165">INDEX(Control!I$1:I$9997,$AP165)</f>
        <v>63140</v>
      </c>
      <c r="AW165" s="111">
        <v>1</v>
      </c>
      <c r="AX165" s="281">
        <f>IF(K$20="CYA",0,K165-K162)</f>
        <v>0</v>
      </c>
      <c r="AY165" s="281">
        <f t="shared" ref="AY165" si="359">IF(L$20="CYA",0,L165-L162)</f>
        <v>0</v>
      </c>
      <c r="AZ165" s="281">
        <f t="shared" ref="AZ165" si="360">IF(M$20="CYA",0,M165-M162)</f>
        <v>0</v>
      </c>
      <c r="BA165" s="281">
        <f t="shared" ref="BA165" si="361">IF(N$20="CYA",0,N165-N162)</f>
        <v>0</v>
      </c>
      <c r="BB165" s="281">
        <f t="shared" ref="BB165" si="362">IF(O$20="CYA",0,O165-O162)</f>
        <v>0</v>
      </c>
      <c r="BC165" s="281">
        <f t="shared" ref="BC165" si="363">IF(P$20="CYA",0,P165-P162)</f>
        <v>0</v>
      </c>
      <c r="BD165" s="281">
        <f t="shared" ref="BD165" si="364">IF(Q$20="CYA",0,Q165-Q162)</f>
        <v>0</v>
      </c>
      <c r="BE165" s="281">
        <f t="shared" ref="BE165" si="365">IF(R$20="CYA",0,R165-R162)</f>
        <v>0</v>
      </c>
      <c r="BF165" s="281">
        <f t="shared" ref="BF165" si="366">IF(S$20="CYA",0,S165-S162)</f>
        <v>0</v>
      </c>
      <c r="BG165" s="281">
        <f t="shared" ref="BG165" si="367">IF(T$20="CYA",0,T165-T162)</f>
        <v>0</v>
      </c>
      <c r="BH165" s="281">
        <f t="shared" ref="BH165" si="368">IF(U$20="CYA",0,U165-U162)</f>
        <v>0</v>
      </c>
      <c r="BI165" s="281">
        <f t="shared" ref="BI165" si="369">IF(V$20="CYA",0,V165-V162)</f>
        <v>0</v>
      </c>
      <c r="BK165" s="96"/>
    </row>
    <row r="166" spans="1:63" ht="16.8">
      <c r="A166" s="105"/>
      <c r="B166" s="106"/>
      <c r="C166" s="112"/>
      <c r="D166" s="110"/>
      <c r="E166" s="112"/>
      <c r="F166" s="74"/>
      <c r="G166" s="95"/>
      <c r="H166" s="95"/>
      <c r="I166" s="95"/>
      <c r="J166" s="67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67"/>
      <c r="AR166" s="167"/>
      <c r="AS166" s="167"/>
      <c r="AT166" s="167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</row>
    <row r="167" spans="1:63" ht="17.399999999999999" thickBot="1">
      <c r="A167" s="105" t="str">
        <f>C167</f>
        <v>E_PurchSvcs</v>
      </c>
      <c r="B167" s="106"/>
      <c r="C167" s="112" t="s">
        <v>342</v>
      </c>
      <c r="D167" s="110"/>
      <c r="E167" s="112"/>
      <c r="F167" s="74"/>
      <c r="G167" s="95" t="s">
        <v>236</v>
      </c>
      <c r="H167" s="95"/>
      <c r="I167" s="95"/>
      <c r="J167" s="67"/>
      <c r="K167" s="96">
        <v>845485.81</v>
      </c>
      <c r="L167" s="96">
        <v>1149195.6499999999</v>
      </c>
      <c r="M167" s="96">
        <v>1381431.48</v>
      </c>
      <c r="N167" s="96">
        <v>870140.03999999992</v>
      </c>
      <c r="O167" s="96">
        <v>1188000.6200000001</v>
      </c>
      <c r="P167" s="96">
        <v>1191512.0519785814</v>
      </c>
      <c r="Q167" s="96">
        <v>1094753.0476616183</v>
      </c>
      <c r="R167" s="96">
        <v>1039513.8505769499</v>
      </c>
      <c r="S167" s="96">
        <v>946704.94452560565</v>
      </c>
      <c r="T167" s="96">
        <v>923561.76814083406</v>
      </c>
      <c r="U167" s="96">
        <v>1039027.9193325442</v>
      </c>
      <c r="V167" s="96">
        <v>1616808.6890944645</v>
      </c>
      <c r="W167" s="96">
        <f>SUM(K167:V167)</f>
        <v>13286135.871310597</v>
      </c>
      <c r="X167" s="96"/>
      <c r="Y167" s="96">
        <v>13391459.851388259</v>
      </c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R167" s="167"/>
      <c r="AS167" s="167"/>
      <c r="AT167" s="167"/>
      <c r="AU167" s="111"/>
      <c r="AV167" s="111"/>
      <c r="AW167" s="111">
        <v>1</v>
      </c>
      <c r="AX167" s="111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</row>
    <row r="168" spans="1:63" ht="18" thickTop="1" thickBot="1">
      <c r="A168" s="105"/>
      <c r="B168" s="106"/>
      <c r="C168" s="112" t="str">
        <f>"ACCT.FSDetail='"&amp;C167&amp;"'"</f>
        <v>ACCT.FSDetail='E_PurchSvcs'</v>
      </c>
      <c r="D168" s="110" t="s">
        <v>411</v>
      </c>
      <c r="E168" s="112"/>
      <c r="F168" s="58"/>
      <c r="G168" s="95" t="s">
        <v>328</v>
      </c>
      <c r="H168" s="95"/>
      <c r="I168" s="95"/>
      <c r="J168" s="46"/>
      <c r="K168" s="86">
        <v>0</v>
      </c>
      <c r="L168" s="86">
        <v>0</v>
      </c>
      <c r="M168" s="86">
        <v>0</v>
      </c>
      <c r="N168" s="86">
        <v>0</v>
      </c>
      <c r="O168" s="86">
        <v>0</v>
      </c>
      <c r="P168" s="86">
        <v>0</v>
      </c>
      <c r="Q168" s="86">
        <v>0</v>
      </c>
      <c r="R168" s="86">
        <v>0</v>
      </c>
      <c r="S168" s="90">
        <f t="shared" ref="S168:V169" si="370">AK168</f>
        <v>0</v>
      </c>
      <c r="T168" s="90">
        <f t="shared" si="370"/>
        <v>0</v>
      </c>
      <c r="U168" s="90">
        <f t="shared" si="370"/>
        <v>0</v>
      </c>
      <c r="V168" s="90">
        <f t="shared" si="370"/>
        <v>0</v>
      </c>
      <c r="W168" s="97">
        <f>IF(W170=0,0,1-(SUM(W169,W167)/W170))</f>
        <v>0</v>
      </c>
      <c r="X168" s="97"/>
      <c r="Y168" s="97"/>
      <c r="Z168" s="97"/>
      <c r="AA168" s="97"/>
      <c r="AB168" s="97"/>
      <c r="AC168" s="97" cm="1">
        <f t="array" ref="AC168">IF(AC$7="",0,_xll.GetData(AC$7,$AQ168))</f>
        <v>0</v>
      </c>
      <c r="AD168" s="97" cm="1">
        <f t="array" ref="AD168">IF(AD$7="",0,_xll.GetData(AD$7,$AQ168))</f>
        <v>0</v>
      </c>
      <c r="AE168" s="97" cm="1">
        <f t="array" ref="AE168">IF(AE$7="",0,_xll.GetData(AE$7,$AQ168))</f>
        <v>0</v>
      </c>
      <c r="AF168" s="97" cm="1">
        <f t="array" ref="AF168">IF(AF$7="",0,_xll.GetData(AF$7,$AQ168))</f>
        <v>0</v>
      </c>
      <c r="AG168" s="97" cm="1">
        <f t="array" ref="AG168">IF(AG$7="",0,_xll.GetData(AG$7,$AQ168))</f>
        <v>0</v>
      </c>
      <c r="AH168" s="97" cm="1">
        <f t="array" ref="AH168">IF(AH$7="",0,_xll.GetData(AH$7,$AQ168))</f>
        <v>0</v>
      </c>
      <c r="AI168" s="97" cm="1">
        <f t="array" ref="AI168">IF(AI$7="",0,_xll.GetData(AI$7,$AQ168))</f>
        <v>0</v>
      </c>
      <c r="AJ168" s="97" cm="1">
        <f t="array" ref="AJ168">IF(AJ$7="",0,_xll.GetData(AJ$7,$AQ168))</f>
        <v>0</v>
      </c>
      <c r="AK168" s="97" cm="1">
        <f t="array" ref="AK168">IF(AK$7="",0,_xll.GetData(AK$7,$AQ168))</f>
        <v>0</v>
      </c>
      <c r="AL168" s="97" cm="1">
        <f t="array" ref="AL168">IF(AL$7="",0,_xll.GetData(AL$7,$AQ168))</f>
        <v>0</v>
      </c>
      <c r="AM168" s="97" cm="1">
        <f t="array" ref="AM168">IF(AM$7="",0,_xll.GetData(AM$7,$AQ168))</f>
        <v>0</v>
      </c>
      <c r="AN168" s="97" cm="1">
        <f t="array" ref="AN168">IF(AN$7="",0,_xll.GetData(AN$7,$AQ168))</f>
        <v>0</v>
      </c>
      <c r="AO168" s="46"/>
      <c r="AP168" s="111">
        <f>AP170</f>
        <v>47</v>
      </c>
      <c r="AQ168" s="111" t="str">
        <f>"Dept="&amp;AU168&amp;" And Acct="&amp;AV168</f>
        <v>Dept=0 And Acct=63400</v>
      </c>
      <c r="AR168" s="167" t="str">
        <f>IF(OR(AU168=0,AV168=0),"NoSave","[Save]")</f>
        <v>NoSave</v>
      </c>
      <c r="AS168" s="167"/>
      <c r="AT168" s="167"/>
      <c r="AU168" s="111">
        <f>AU170</f>
        <v>0</v>
      </c>
      <c r="AV168" s="111">
        <f>AV170</f>
        <v>63400</v>
      </c>
      <c r="AW168" s="111">
        <v>1</v>
      </c>
      <c r="AX168" s="280">
        <f>IF(K$20="CYA",0,K168)</f>
        <v>0</v>
      </c>
      <c r="AY168" s="280">
        <f t="shared" ref="AY168:AY169" si="371">IF(L$20="CYA",0,L168)</f>
        <v>0</v>
      </c>
      <c r="AZ168" s="280">
        <f t="shared" ref="AZ168:AZ169" si="372">IF(M$20="CYA",0,M168)</f>
        <v>0</v>
      </c>
      <c r="BA168" s="280">
        <f t="shared" ref="BA168:BA169" si="373">IF(N$20="CYA",0,N168)</f>
        <v>0</v>
      </c>
      <c r="BB168" s="280">
        <f t="shared" ref="BB168:BB169" si="374">IF(O$20="CYA",0,O168)</f>
        <v>0</v>
      </c>
      <c r="BC168" s="280">
        <f t="shared" ref="BC168:BC169" si="375">IF(P$20="CYA",0,P168)</f>
        <v>0</v>
      </c>
      <c r="BD168" s="280">
        <f t="shared" ref="BD168:BD169" si="376">IF(Q$20="CYA",0,Q168)</f>
        <v>0</v>
      </c>
      <c r="BE168" s="280">
        <f t="shared" ref="BE168:BE169" si="377">IF(R$20="CYA",0,R168)</f>
        <v>0</v>
      </c>
      <c r="BF168" s="280">
        <f t="shared" ref="BF168:BF169" si="378">IF(S$20="CYA",0,S168)</f>
        <v>0</v>
      </c>
      <c r="BG168" s="280">
        <f t="shared" ref="BG168:BG169" si="379">IF(T$20="CYA",0,T168)</f>
        <v>0</v>
      </c>
      <c r="BH168" s="280">
        <f t="shared" ref="BH168:BH169" si="380">IF(U$20="CYA",0,U168)</f>
        <v>0</v>
      </c>
      <c r="BI168" s="280">
        <f t="shared" ref="BI168:BI169" si="381">IF(V$20="CYA",0,V168)</f>
        <v>0</v>
      </c>
      <c r="BJ168" s="90">
        <f>CB168</f>
        <v>0</v>
      </c>
      <c r="BK168" s="86">
        <v>0</v>
      </c>
    </row>
    <row r="169" spans="1:63" ht="18" thickTop="1" thickBot="1">
      <c r="A169" s="113"/>
      <c r="B169" s="106"/>
      <c r="C169" s="112" t="str">
        <f>C168</f>
        <v>ACCT.FSDetail='E_PurchSvcs'</v>
      </c>
      <c r="D169" s="110" t="s">
        <v>411</v>
      </c>
      <c r="E169" s="112"/>
      <c r="F169" s="58"/>
      <c r="G169" s="95" t="s">
        <v>329</v>
      </c>
      <c r="H169" s="95"/>
      <c r="I169" s="95"/>
      <c r="J169" s="67"/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v>0</v>
      </c>
      <c r="Q169" s="96">
        <v>0</v>
      </c>
      <c r="R169" s="96">
        <v>0</v>
      </c>
      <c r="S169" s="89">
        <f t="shared" si="370"/>
        <v>0</v>
      </c>
      <c r="T169" s="89">
        <f t="shared" si="370"/>
        <v>0</v>
      </c>
      <c r="U169" s="89">
        <f t="shared" si="370"/>
        <v>0</v>
      </c>
      <c r="V169" s="89">
        <f t="shared" si="370"/>
        <v>0</v>
      </c>
      <c r="W169" s="96">
        <f>SUM(K169:V169)</f>
        <v>0</v>
      </c>
      <c r="X169" s="96"/>
      <c r="Y169" s="96"/>
      <c r="Z169" s="96"/>
      <c r="AA169" s="96"/>
      <c r="AB169" s="96"/>
      <c r="AC169" s="96" cm="1">
        <f t="array" ref="AC169">IF(AC$8="",0,_xll.GetData(AC$8,$AQ169))</f>
        <v>0</v>
      </c>
      <c r="AD169" s="96" cm="1">
        <f t="array" ref="AD169">IF(AD$8="",0,_xll.GetData(AD$8,$AQ169))</f>
        <v>0</v>
      </c>
      <c r="AE169" s="96" cm="1">
        <f t="array" ref="AE169">IF(AE$8="",0,_xll.GetData(AE$8,$AQ169))</f>
        <v>0</v>
      </c>
      <c r="AF169" s="96" cm="1">
        <f t="array" ref="AF169">IF(AF$8="",0,_xll.GetData(AF$8,$AQ169))</f>
        <v>0</v>
      </c>
      <c r="AG169" s="96" cm="1">
        <f t="array" ref="AG169">IF(AG$8="",0,_xll.GetData(AG$8,$AQ169))</f>
        <v>0</v>
      </c>
      <c r="AH169" s="96" cm="1">
        <f t="array" ref="AH169">IF(AH$8="",0,_xll.GetData(AH$8,$AQ169))</f>
        <v>0</v>
      </c>
      <c r="AI169" s="96" cm="1">
        <f t="array" ref="AI169">IF(AI$8="",0,_xll.GetData(AI$8,$AQ169))</f>
        <v>0</v>
      </c>
      <c r="AJ169" s="96" cm="1">
        <f t="array" ref="AJ169">IF(AJ$8="",0,_xll.GetData(AJ$8,$AQ169))</f>
        <v>0</v>
      </c>
      <c r="AK169" s="96" cm="1">
        <f t="array" ref="AK169">IF(AK$8="",0,_xll.GetData(AK$8,$AQ169))</f>
        <v>0</v>
      </c>
      <c r="AL169" s="96" cm="1">
        <f t="array" ref="AL169">IF(AL$8="",0,_xll.GetData(AL$8,$AQ169))</f>
        <v>0</v>
      </c>
      <c r="AM169" s="96" cm="1">
        <f t="array" ref="AM169">IF(AM$8="",0,_xll.GetData(AM$8,$AQ169))</f>
        <v>0</v>
      </c>
      <c r="AN169" s="96" cm="1">
        <f t="array" ref="AN169">IF(AN$8="",0,_xll.GetData(AN$8,$AQ169))</f>
        <v>0</v>
      </c>
      <c r="AO169" s="69"/>
      <c r="AP169" s="111">
        <f>AP170</f>
        <v>47</v>
      </c>
      <c r="AQ169" s="111" t="str">
        <f>"Dept="&amp;AU169&amp;" And Acct="&amp;AV169</f>
        <v>Dept=0 And Acct=63400</v>
      </c>
      <c r="AR169" s="167"/>
      <c r="AS169" s="167" t="str">
        <f>IF(OR(AU169=0,AV169=0),"NoSave","[Save]")</f>
        <v>NoSave</v>
      </c>
      <c r="AT169" s="167"/>
      <c r="AU169" s="111">
        <f>AU170</f>
        <v>0</v>
      </c>
      <c r="AV169" s="111">
        <f>AV170</f>
        <v>63400</v>
      </c>
      <c r="AW169" s="111">
        <v>1</v>
      </c>
      <c r="AX169" s="281">
        <f>IF(K$20="CYA",0,K169)</f>
        <v>0</v>
      </c>
      <c r="AY169" s="281">
        <f t="shared" si="371"/>
        <v>0</v>
      </c>
      <c r="AZ169" s="281">
        <f t="shared" si="372"/>
        <v>0</v>
      </c>
      <c r="BA169" s="281">
        <f t="shared" si="373"/>
        <v>0</v>
      </c>
      <c r="BB169" s="281">
        <f t="shared" si="374"/>
        <v>0</v>
      </c>
      <c r="BC169" s="281">
        <f t="shared" si="375"/>
        <v>0</v>
      </c>
      <c r="BD169" s="281">
        <f t="shared" si="376"/>
        <v>0</v>
      </c>
      <c r="BE169" s="281">
        <f t="shared" si="377"/>
        <v>0</v>
      </c>
      <c r="BF169" s="281">
        <f t="shared" si="378"/>
        <v>0</v>
      </c>
      <c r="BG169" s="281">
        <f t="shared" si="379"/>
        <v>0</v>
      </c>
      <c r="BH169" s="281">
        <f t="shared" si="380"/>
        <v>0</v>
      </c>
      <c r="BI169" s="281">
        <f t="shared" si="381"/>
        <v>0</v>
      </c>
      <c r="BJ169" s="89">
        <f>CB169</f>
        <v>0</v>
      </c>
      <c r="BK169" s="96">
        <v>0</v>
      </c>
    </row>
    <row r="170" spans="1:63" ht="17.399999999999999" thickTop="1">
      <c r="A170" s="105"/>
      <c r="B170" s="114" t="str">
        <f>C167</f>
        <v>E_PurchSvcs</v>
      </c>
      <c r="C170" s="112" t="s">
        <v>278</v>
      </c>
      <c r="D170" s="110"/>
      <c r="E170" s="112"/>
      <c r="F170" s="74"/>
      <c r="G170" s="100" t="str">
        <f>"   Total "&amp;G167</f>
        <v xml:space="preserve">   Total Purchased Services</v>
      </c>
      <c r="H170" s="100"/>
      <c r="I170" s="100"/>
      <c r="J170" s="116"/>
      <c r="K170" s="116">
        <f>IF(K$20="CYA",K167,K167*(1+K168)+K169)</f>
        <v>845485.81</v>
      </c>
      <c r="L170" s="116">
        <f>IF(L$20="CYA",L167,L167*(1+L168)+L169)</f>
        <v>1149195.6499999999</v>
      </c>
      <c r="M170" s="116">
        <f>IF(M$20="CYA",M167,M167*(1+M168)+M169)</f>
        <v>1381431.48</v>
      </c>
      <c r="N170" s="116">
        <f>IF(N$20="CYA",N167,N167*(1+N168)+N169)</f>
        <v>870140.03999999992</v>
      </c>
      <c r="O170" s="116">
        <f>IF(O$20="CYA",O167,O167*(1+O168)+O169)</f>
        <v>1188000.6200000001</v>
      </c>
      <c r="P170" s="116">
        <f>IF(P$20="CYA",P167,P167*(1+P168)+P169)</f>
        <v>1191512.0519785814</v>
      </c>
      <c r="Q170" s="116">
        <f>IF(Q$20="CYA",Q167,Q167*(1+Q168)+Q169)</f>
        <v>1094753.0476616183</v>
      </c>
      <c r="R170" s="116">
        <f>IF(R$20="CYA",R167,R167*(1+R168)+R169)</f>
        <v>1039513.8505769499</v>
      </c>
      <c r="S170" s="116">
        <f>IF(S$20="CYA",S167,S167*(1+S168)+S169)</f>
        <v>946704.94452560565</v>
      </c>
      <c r="T170" s="116">
        <f>IF(T$20="CYA",T167,T167*(1+T168)+T169)</f>
        <v>923561.76814083406</v>
      </c>
      <c r="U170" s="116">
        <f>IF(U$20="CYA",U167,U167*(1+U168)+U169)</f>
        <v>1039027.9193325442</v>
      </c>
      <c r="V170" s="116">
        <f>IF(V$20="CYA",V167,V167*(1+V168)+V169)</f>
        <v>1616808.6890944645</v>
      </c>
      <c r="W170" s="116">
        <f>SUM(K170:V170)</f>
        <v>13286135.871310597</v>
      </c>
      <c r="X170" s="116"/>
      <c r="Y170" s="116">
        <f>SUM(Y167:Y169)</f>
        <v>13391459.851388259</v>
      </c>
      <c r="Z170" s="116">
        <f>Y170-W170</f>
        <v>105323.98007766157</v>
      </c>
      <c r="AA170" s="102">
        <f>IF(Y170=0,0,Z170/Y170)</f>
        <v>7.8650110776938859E-3</v>
      </c>
      <c r="AB170" s="116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67"/>
      <c r="AP170" s="111">
        <f>ROW(Control!D47)</f>
        <v>47</v>
      </c>
      <c r="AQ170" s="111"/>
      <c r="AR170" s="167"/>
      <c r="AS170" s="167"/>
      <c r="AT170" s="167" t="str">
        <f>IF(OR(AU170=0,AV170=0),"NoSave","[Save]")</f>
        <v>NoSave</v>
      </c>
      <c r="AU170" s="111" cm="1">
        <f t="array" ref="AU170">INDEX(Control!G$1:G$9997,$AP170)</f>
        <v>0</v>
      </c>
      <c r="AV170" s="111" cm="1">
        <f t="array" ref="AV170">INDEX(Control!I$1:I$9997,$AP170)</f>
        <v>63400</v>
      </c>
      <c r="AW170" s="111">
        <v>1</v>
      </c>
      <c r="AX170" s="281">
        <f>IF(K$20="CYA",0,K170-K167)</f>
        <v>0</v>
      </c>
      <c r="AY170" s="281">
        <f t="shared" ref="AY170" si="382">IF(L$20="CYA",0,L170-L167)</f>
        <v>0</v>
      </c>
      <c r="AZ170" s="281">
        <f t="shared" ref="AZ170" si="383">IF(M$20="CYA",0,M170-M167)</f>
        <v>0</v>
      </c>
      <c r="BA170" s="281">
        <f t="shared" ref="BA170" si="384">IF(N$20="CYA",0,N170-N167)</f>
        <v>0</v>
      </c>
      <c r="BB170" s="281">
        <f t="shared" ref="BB170" si="385">IF(O$20="CYA",0,O170-O167)</f>
        <v>0</v>
      </c>
      <c r="BC170" s="281">
        <f t="shared" ref="BC170" si="386">IF(P$20="CYA",0,P170-P167)</f>
        <v>0</v>
      </c>
      <c r="BD170" s="281">
        <f t="shared" ref="BD170" si="387">IF(Q$20="CYA",0,Q170-Q167)</f>
        <v>0</v>
      </c>
      <c r="BE170" s="281">
        <f t="shared" ref="BE170" si="388">IF(R$20="CYA",0,R170-R167)</f>
        <v>0</v>
      </c>
      <c r="BF170" s="281">
        <f t="shared" ref="BF170" si="389">IF(S$20="CYA",0,S170-S167)</f>
        <v>0</v>
      </c>
      <c r="BG170" s="281">
        <f t="shared" ref="BG170" si="390">IF(T$20="CYA",0,T170-T167)</f>
        <v>0</v>
      </c>
      <c r="BH170" s="281">
        <f t="shared" ref="BH170" si="391">IF(U$20="CYA",0,U170-U167)</f>
        <v>0</v>
      </c>
      <c r="BI170" s="281">
        <f t="shared" ref="BI170" si="392">IF(V$20="CYA",0,V170-V167)</f>
        <v>0</v>
      </c>
    </row>
    <row r="171" spans="1:63" ht="16.8">
      <c r="A171" s="105"/>
      <c r="B171" s="106"/>
      <c r="C171" s="112"/>
      <c r="D171" s="110"/>
      <c r="E171" s="112"/>
      <c r="F171" s="74"/>
      <c r="G171" s="95"/>
      <c r="H171" s="95"/>
      <c r="I171" s="95"/>
      <c r="J171" s="67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67"/>
      <c r="AR171" s="167"/>
      <c r="AS171" s="167"/>
      <c r="AT171" s="167"/>
      <c r="AU171" s="111"/>
      <c r="AV171" s="111"/>
      <c r="AW171" s="111"/>
      <c r="AX171" s="111"/>
      <c r="AY171" s="111"/>
      <c r="AZ171" s="111"/>
      <c r="BA171" s="111"/>
      <c r="BB171" s="111"/>
      <c r="BC171" s="111"/>
      <c r="BD171" s="111"/>
      <c r="BE171" s="111"/>
      <c r="BF171" s="111"/>
      <c r="BG171" s="111"/>
      <c r="BH171" s="111"/>
      <c r="BI171" s="111"/>
    </row>
    <row r="172" spans="1:63" ht="17.399999999999999" thickBot="1">
      <c r="A172" s="105" t="str">
        <f>C172</f>
        <v>E_MedSupplies</v>
      </c>
      <c r="B172" s="106"/>
      <c r="C172" s="112" t="s">
        <v>343</v>
      </c>
      <c r="D172" s="110"/>
      <c r="E172" s="112"/>
      <c r="F172" s="74"/>
      <c r="G172" s="95" t="s">
        <v>237</v>
      </c>
      <c r="H172" s="95"/>
      <c r="I172" s="95"/>
      <c r="J172" s="67"/>
      <c r="K172" s="96">
        <v>2249822.7799999998</v>
      </c>
      <c r="L172" s="96">
        <v>2528346.1599999997</v>
      </c>
      <c r="M172" s="96">
        <v>2327099.6</v>
      </c>
      <c r="N172" s="96">
        <v>2529539.48</v>
      </c>
      <c r="O172" s="96">
        <v>2389297.73</v>
      </c>
      <c r="P172" s="96">
        <v>1770055.9027096112</v>
      </c>
      <c r="Q172" s="96">
        <v>1669199.5461243845</v>
      </c>
      <c r="R172" s="96">
        <v>1928637.8638823996</v>
      </c>
      <c r="S172" s="96">
        <v>1510503.0887276516</v>
      </c>
      <c r="T172" s="96">
        <v>1585972.4389459768</v>
      </c>
      <c r="U172" s="96">
        <v>1698466.4095835104</v>
      </c>
      <c r="V172" s="96">
        <v>1811110.3588407182</v>
      </c>
      <c r="W172" s="96">
        <f>SUM(K172:V172)</f>
        <v>23998051.358814251</v>
      </c>
      <c r="X172" s="96"/>
      <c r="Y172" s="96">
        <v>21000771.860090662</v>
      </c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R172" s="167"/>
      <c r="AS172" s="167"/>
      <c r="AT172" s="167"/>
      <c r="AU172" s="111"/>
      <c r="AV172" s="111"/>
      <c r="AW172" s="111">
        <v>1</v>
      </c>
      <c r="AX172" s="111"/>
      <c r="AY172" s="111"/>
      <c r="AZ172" s="111"/>
      <c r="BA172" s="111"/>
      <c r="BB172" s="111"/>
      <c r="BC172" s="111"/>
      <c r="BD172" s="111"/>
      <c r="BE172" s="111"/>
      <c r="BF172" s="111"/>
      <c r="BG172" s="111"/>
      <c r="BH172" s="111"/>
      <c r="BI172" s="111"/>
    </row>
    <row r="173" spans="1:63" ht="18" thickTop="1" thickBot="1">
      <c r="A173" s="105"/>
      <c r="B173" s="106"/>
      <c r="C173" s="112" t="str">
        <f>"ACCT.FSDetail='"&amp;C172&amp;"'"</f>
        <v>ACCT.FSDetail='E_MedSupplies'</v>
      </c>
      <c r="D173" s="110" t="s">
        <v>411</v>
      </c>
      <c r="E173" s="112"/>
      <c r="F173" s="58"/>
      <c r="G173" s="95" t="s">
        <v>328</v>
      </c>
      <c r="H173" s="95"/>
      <c r="I173" s="95"/>
      <c r="J173" s="46"/>
      <c r="K173" s="86">
        <v>0</v>
      </c>
      <c r="L173" s="86">
        <v>0</v>
      </c>
      <c r="M173" s="86">
        <v>0</v>
      </c>
      <c r="N173" s="86">
        <v>0</v>
      </c>
      <c r="O173" s="86">
        <v>0</v>
      </c>
      <c r="P173" s="86">
        <v>0</v>
      </c>
      <c r="Q173" s="86">
        <v>0</v>
      </c>
      <c r="R173" s="86">
        <v>0</v>
      </c>
      <c r="S173" s="90">
        <f t="shared" ref="S173:V174" si="393">AK173</f>
        <v>0</v>
      </c>
      <c r="T173" s="90">
        <f t="shared" si="393"/>
        <v>0</v>
      </c>
      <c r="U173" s="90">
        <f t="shared" si="393"/>
        <v>0</v>
      </c>
      <c r="V173" s="90">
        <f t="shared" si="393"/>
        <v>0</v>
      </c>
      <c r="W173" s="97">
        <f>IF(W175=0,0,1-(SUM(W174,W172)/W175))</f>
        <v>0</v>
      </c>
      <c r="X173" s="97"/>
      <c r="Y173" s="97"/>
      <c r="Z173" s="97"/>
      <c r="AA173" s="97"/>
      <c r="AB173" s="97"/>
      <c r="AC173" s="97" cm="1">
        <f t="array" ref="AC173">IF(AC$7="",0,_xll.GetData(AC$7,$AQ173))</f>
        <v>0</v>
      </c>
      <c r="AD173" s="97" cm="1">
        <f t="array" ref="AD173">IF(AD$7="",0,_xll.GetData(AD$7,$AQ173))</f>
        <v>0</v>
      </c>
      <c r="AE173" s="97" cm="1">
        <f t="array" ref="AE173">IF(AE$7="",0,_xll.GetData(AE$7,$AQ173))</f>
        <v>0</v>
      </c>
      <c r="AF173" s="97" cm="1">
        <f t="array" ref="AF173">IF(AF$7="",0,_xll.GetData(AF$7,$AQ173))</f>
        <v>0</v>
      </c>
      <c r="AG173" s="97" cm="1">
        <f t="array" ref="AG173">IF(AG$7="",0,_xll.GetData(AG$7,$AQ173))</f>
        <v>0</v>
      </c>
      <c r="AH173" s="97" cm="1">
        <f t="array" ref="AH173">IF(AH$7="",0,_xll.GetData(AH$7,$AQ173))</f>
        <v>0</v>
      </c>
      <c r="AI173" s="97" cm="1">
        <f t="array" ref="AI173">IF(AI$7="",0,_xll.GetData(AI$7,$AQ173))</f>
        <v>0</v>
      </c>
      <c r="AJ173" s="97" cm="1">
        <f t="array" ref="AJ173">IF(AJ$7="",0,_xll.GetData(AJ$7,$AQ173))</f>
        <v>0</v>
      </c>
      <c r="AK173" s="97" cm="1">
        <f t="array" ref="AK173">IF(AK$7="",0,_xll.GetData(AK$7,$AQ173))</f>
        <v>0</v>
      </c>
      <c r="AL173" s="97" cm="1">
        <f t="array" ref="AL173">IF(AL$7="",0,_xll.GetData(AL$7,$AQ173))</f>
        <v>0</v>
      </c>
      <c r="AM173" s="97" cm="1">
        <f t="array" ref="AM173">IF(AM$7="",0,_xll.GetData(AM$7,$AQ173))</f>
        <v>0</v>
      </c>
      <c r="AN173" s="97" cm="1">
        <f t="array" ref="AN173">IF(AN$7="",0,_xll.GetData(AN$7,$AQ173))</f>
        <v>0</v>
      </c>
      <c r="AO173" s="46"/>
      <c r="AP173" s="111">
        <f>AP175</f>
        <v>48</v>
      </c>
      <c r="AQ173" s="111" t="str">
        <f>"Dept="&amp;AU173&amp;" And Acct="&amp;AV173</f>
        <v>Dept=0 And Acct=62140</v>
      </c>
      <c r="AR173" s="167" t="str">
        <f>IF(OR(AU173=0,AV173=0),"NoSave","[Save]")</f>
        <v>NoSave</v>
      </c>
      <c r="AS173" s="167"/>
      <c r="AT173" s="167"/>
      <c r="AU173" s="111">
        <f>AU175</f>
        <v>0</v>
      </c>
      <c r="AV173" s="111">
        <f>AV175</f>
        <v>62140</v>
      </c>
      <c r="AW173" s="111">
        <v>1</v>
      </c>
      <c r="AX173" s="280">
        <f>IF(K$20="CYA",0,K173)</f>
        <v>0</v>
      </c>
      <c r="AY173" s="280">
        <f t="shared" ref="AY173:AY174" si="394">IF(L$20="CYA",0,L173)</f>
        <v>0</v>
      </c>
      <c r="AZ173" s="280">
        <f t="shared" ref="AZ173:AZ174" si="395">IF(M$20="CYA",0,M173)</f>
        <v>0</v>
      </c>
      <c r="BA173" s="280">
        <f t="shared" ref="BA173:BA174" si="396">IF(N$20="CYA",0,N173)</f>
        <v>0</v>
      </c>
      <c r="BB173" s="280">
        <f t="shared" ref="BB173:BB174" si="397">IF(O$20="CYA",0,O173)</f>
        <v>0</v>
      </c>
      <c r="BC173" s="280">
        <f t="shared" ref="BC173:BC174" si="398">IF(P$20="CYA",0,P173)</f>
        <v>0</v>
      </c>
      <c r="BD173" s="280">
        <f t="shared" ref="BD173:BD174" si="399">IF(Q$20="CYA",0,Q173)</f>
        <v>0</v>
      </c>
      <c r="BE173" s="280">
        <f t="shared" ref="BE173:BE174" si="400">IF(R$20="CYA",0,R173)</f>
        <v>0</v>
      </c>
      <c r="BF173" s="280">
        <f t="shared" ref="BF173:BF174" si="401">IF(S$20="CYA",0,S173)</f>
        <v>0</v>
      </c>
      <c r="BG173" s="280">
        <f t="shared" ref="BG173:BG174" si="402">IF(T$20="CYA",0,T173)</f>
        <v>0</v>
      </c>
      <c r="BH173" s="280">
        <f t="shared" ref="BH173:BH174" si="403">IF(U$20="CYA",0,U173)</f>
        <v>0</v>
      </c>
      <c r="BI173" s="280">
        <f t="shared" ref="BI173:BI174" si="404">IF(V$20="CYA",0,V173)</f>
        <v>0</v>
      </c>
      <c r="BJ173" s="90">
        <f>CB173</f>
        <v>0</v>
      </c>
      <c r="BK173" s="86">
        <v>0</v>
      </c>
    </row>
    <row r="174" spans="1:63" ht="18" thickTop="1" thickBot="1">
      <c r="A174" s="113"/>
      <c r="B174" s="106"/>
      <c r="C174" s="112" t="str">
        <f>C173</f>
        <v>ACCT.FSDetail='E_MedSupplies'</v>
      </c>
      <c r="D174" s="110" t="s">
        <v>411</v>
      </c>
      <c r="E174" s="112"/>
      <c r="F174" s="58"/>
      <c r="G174" s="95" t="s">
        <v>329</v>
      </c>
      <c r="H174" s="95"/>
      <c r="I174" s="95"/>
      <c r="J174" s="67"/>
      <c r="K174" s="96">
        <v>0</v>
      </c>
      <c r="L174" s="96">
        <v>0</v>
      </c>
      <c r="M174" s="96">
        <v>0</v>
      </c>
      <c r="N174" s="96">
        <v>0</v>
      </c>
      <c r="O174" s="96">
        <v>0</v>
      </c>
      <c r="P174" s="96">
        <v>0</v>
      </c>
      <c r="Q174" s="96">
        <v>0</v>
      </c>
      <c r="R174" s="96">
        <v>0</v>
      </c>
      <c r="S174" s="89">
        <f t="shared" si="393"/>
        <v>0</v>
      </c>
      <c r="T174" s="89">
        <f t="shared" si="393"/>
        <v>0</v>
      </c>
      <c r="U174" s="89">
        <f t="shared" si="393"/>
        <v>0</v>
      </c>
      <c r="V174" s="89">
        <f t="shared" si="393"/>
        <v>0</v>
      </c>
      <c r="W174" s="96">
        <f>SUM(K174:V174)</f>
        <v>0</v>
      </c>
      <c r="X174" s="96"/>
      <c r="Y174" s="96"/>
      <c r="Z174" s="96"/>
      <c r="AA174" s="96"/>
      <c r="AB174" s="96"/>
      <c r="AC174" s="96" cm="1">
        <f t="array" ref="AC174">IF(AC$8="",0,_xll.GetData(AC$8,$AQ174))</f>
        <v>0</v>
      </c>
      <c r="AD174" s="96" cm="1">
        <f t="array" ref="AD174">IF(AD$8="",0,_xll.GetData(AD$8,$AQ174))</f>
        <v>0</v>
      </c>
      <c r="AE174" s="96" cm="1">
        <f t="array" ref="AE174">IF(AE$8="",0,_xll.GetData(AE$8,$AQ174))</f>
        <v>0</v>
      </c>
      <c r="AF174" s="96" cm="1">
        <f t="array" ref="AF174">IF(AF$8="",0,_xll.GetData(AF$8,$AQ174))</f>
        <v>0</v>
      </c>
      <c r="AG174" s="96" cm="1">
        <f t="array" ref="AG174">IF(AG$8="",0,_xll.GetData(AG$8,$AQ174))</f>
        <v>0</v>
      </c>
      <c r="AH174" s="96" cm="1">
        <f t="array" ref="AH174">IF(AH$8="",0,_xll.GetData(AH$8,$AQ174))</f>
        <v>0</v>
      </c>
      <c r="AI174" s="96" cm="1">
        <f t="array" ref="AI174">IF(AI$8="",0,_xll.GetData(AI$8,$AQ174))</f>
        <v>0</v>
      </c>
      <c r="AJ174" s="96" cm="1">
        <f t="array" ref="AJ174">IF(AJ$8="",0,_xll.GetData(AJ$8,$AQ174))</f>
        <v>0</v>
      </c>
      <c r="AK174" s="96" cm="1">
        <f t="array" ref="AK174">IF(AK$8="",0,_xll.GetData(AK$8,$AQ174))</f>
        <v>0</v>
      </c>
      <c r="AL174" s="96" cm="1">
        <f t="array" ref="AL174">IF(AL$8="",0,_xll.GetData(AL$8,$AQ174))</f>
        <v>0</v>
      </c>
      <c r="AM174" s="96" cm="1">
        <f t="array" ref="AM174">IF(AM$8="",0,_xll.GetData(AM$8,$AQ174))</f>
        <v>0</v>
      </c>
      <c r="AN174" s="96" cm="1">
        <f t="array" ref="AN174">IF(AN$8="",0,_xll.GetData(AN$8,$AQ174))</f>
        <v>0</v>
      </c>
      <c r="AO174" s="69"/>
      <c r="AP174" s="111">
        <f>AP175</f>
        <v>48</v>
      </c>
      <c r="AQ174" s="111" t="str">
        <f>"Dept="&amp;AU174&amp;" And Acct="&amp;AV174</f>
        <v>Dept=0 And Acct=62140</v>
      </c>
      <c r="AR174" s="167"/>
      <c r="AS174" s="167" t="str">
        <f>IF(OR(AU174=0,AV174=0),"NoSave","[Save]")</f>
        <v>NoSave</v>
      </c>
      <c r="AT174" s="167"/>
      <c r="AU174" s="111">
        <f>AU175</f>
        <v>0</v>
      </c>
      <c r="AV174" s="111">
        <f>AV175</f>
        <v>62140</v>
      </c>
      <c r="AW174" s="111">
        <v>1</v>
      </c>
      <c r="AX174" s="281">
        <f>IF(K$20="CYA",0,K174)</f>
        <v>0</v>
      </c>
      <c r="AY174" s="281">
        <f t="shared" si="394"/>
        <v>0</v>
      </c>
      <c r="AZ174" s="281">
        <f t="shared" si="395"/>
        <v>0</v>
      </c>
      <c r="BA174" s="281">
        <f t="shared" si="396"/>
        <v>0</v>
      </c>
      <c r="BB174" s="281">
        <f t="shared" si="397"/>
        <v>0</v>
      </c>
      <c r="BC174" s="281">
        <f t="shared" si="398"/>
        <v>0</v>
      </c>
      <c r="BD174" s="281">
        <f t="shared" si="399"/>
        <v>0</v>
      </c>
      <c r="BE174" s="281">
        <f t="shared" si="400"/>
        <v>0</v>
      </c>
      <c r="BF174" s="281">
        <f t="shared" si="401"/>
        <v>0</v>
      </c>
      <c r="BG174" s="281">
        <f t="shared" si="402"/>
        <v>0</v>
      </c>
      <c r="BH174" s="281">
        <f t="shared" si="403"/>
        <v>0</v>
      </c>
      <c r="BI174" s="281">
        <f t="shared" si="404"/>
        <v>0</v>
      </c>
      <c r="BJ174" s="89">
        <f>CB174</f>
        <v>0</v>
      </c>
      <c r="BK174" s="96">
        <v>0</v>
      </c>
    </row>
    <row r="175" spans="1:63" ht="17.399999999999999" thickTop="1">
      <c r="A175" s="105"/>
      <c r="B175" s="114" t="str">
        <f>C172</f>
        <v>E_MedSupplies</v>
      </c>
      <c r="C175" s="112" t="s">
        <v>278</v>
      </c>
      <c r="D175" s="110"/>
      <c r="E175" s="112"/>
      <c r="F175" s="74"/>
      <c r="G175" s="100" t="str">
        <f>"   Total "&amp;G172</f>
        <v xml:space="preserve">   Total Medical Supplies</v>
      </c>
      <c r="H175" s="100"/>
      <c r="I175" s="100"/>
      <c r="J175" s="116"/>
      <c r="K175" s="116">
        <f>IF(K$20="CYA",K172,K172*(1+K173)+K174)</f>
        <v>2249822.7799999998</v>
      </c>
      <c r="L175" s="116">
        <f>IF(L$20="CYA",L172,L172*(1+L173)+L174)</f>
        <v>2528346.1599999997</v>
      </c>
      <c r="M175" s="116">
        <f>IF(M$20="CYA",M172,M172*(1+M173)+M174)</f>
        <v>2327099.6</v>
      </c>
      <c r="N175" s="116">
        <f>IF(N$20="CYA",N172,N172*(1+N173)+N174)</f>
        <v>2529539.48</v>
      </c>
      <c r="O175" s="116">
        <f>IF(O$20="CYA",O172,O172*(1+O173)+O174)</f>
        <v>2389297.73</v>
      </c>
      <c r="P175" s="116">
        <f>IF(P$20="CYA",P172,P172*(1+P173)+P174)</f>
        <v>1770055.9027096112</v>
      </c>
      <c r="Q175" s="116">
        <f>IF(Q$20="CYA",Q172,Q172*(1+Q173)+Q174)</f>
        <v>1669199.5461243845</v>
      </c>
      <c r="R175" s="116">
        <f>IF(R$20="CYA",R172,R172*(1+R173)+R174)</f>
        <v>1928637.8638823996</v>
      </c>
      <c r="S175" s="116">
        <f>IF(S$20="CYA",S172,S172*(1+S173)+S174)</f>
        <v>1510503.0887276516</v>
      </c>
      <c r="T175" s="116">
        <f>IF(T$20="CYA",T172,T172*(1+T173)+T174)</f>
        <v>1585972.4389459768</v>
      </c>
      <c r="U175" s="116">
        <f>IF(U$20="CYA",U172,U172*(1+U173)+U174)</f>
        <v>1698466.4095835104</v>
      </c>
      <c r="V175" s="116">
        <f>IF(V$20="CYA",V172,V172*(1+V173)+V174)</f>
        <v>1811110.3588407182</v>
      </c>
      <c r="W175" s="116">
        <f>SUM(K175:V175)</f>
        <v>23998051.358814251</v>
      </c>
      <c r="X175" s="116"/>
      <c r="Y175" s="116">
        <f>SUM(Y172:Y174)</f>
        <v>21000771.860090662</v>
      </c>
      <c r="Z175" s="116">
        <f>Y175-W175</f>
        <v>-2997279.4987235889</v>
      </c>
      <c r="AA175" s="102">
        <f>IF(Y175=0,0,Z175/Y175)</f>
        <v>-0.14272234938276451</v>
      </c>
      <c r="AB175" s="116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67"/>
      <c r="AP175" s="111">
        <f>ROW(Control!D48)</f>
        <v>48</v>
      </c>
      <c r="AQ175" s="111"/>
      <c r="AR175" s="167"/>
      <c r="AS175" s="167"/>
      <c r="AT175" s="167" t="str">
        <f>IF(OR(AU175=0,AV175=0),"NoSave","[Save]")</f>
        <v>NoSave</v>
      </c>
      <c r="AU175" s="111" cm="1">
        <f t="array" ref="AU175">INDEX(Control!G$1:G$9997,$AP175)</f>
        <v>0</v>
      </c>
      <c r="AV175" s="111" cm="1">
        <f t="array" ref="AV175">INDEX(Control!I$1:I$9997,$AP175)</f>
        <v>62140</v>
      </c>
      <c r="AW175" s="111">
        <v>1</v>
      </c>
      <c r="AX175" s="281">
        <f>IF(K$20="CYA",0,K175-K172)</f>
        <v>0</v>
      </c>
      <c r="AY175" s="281">
        <f t="shared" ref="AY175" si="405">IF(L$20="CYA",0,L175-L172)</f>
        <v>0</v>
      </c>
      <c r="AZ175" s="281">
        <f t="shared" ref="AZ175" si="406">IF(M$20="CYA",0,M175-M172)</f>
        <v>0</v>
      </c>
      <c r="BA175" s="281">
        <f t="shared" ref="BA175" si="407">IF(N$20="CYA",0,N175-N172)</f>
        <v>0</v>
      </c>
      <c r="BB175" s="281">
        <f t="shared" ref="BB175" si="408">IF(O$20="CYA",0,O175-O172)</f>
        <v>0</v>
      </c>
      <c r="BC175" s="281">
        <f t="shared" ref="BC175" si="409">IF(P$20="CYA",0,P175-P172)</f>
        <v>0</v>
      </c>
      <c r="BD175" s="281">
        <f t="shared" ref="BD175" si="410">IF(Q$20="CYA",0,Q175-Q172)</f>
        <v>0</v>
      </c>
      <c r="BE175" s="281">
        <f t="shared" ref="BE175" si="411">IF(R$20="CYA",0,R175-R172)</f>
        <v>0</v>
      </c>
      <c r="BF175" s="281">
        <f t="shared" ref="BF175" si="412">IF(S$20="CYA",0,S175-S172)</f>
        <v>0</v>
      </c>
      <c r="BG175" s="281">
        <f t="shared" ref="BG175" si="413">IF(T$20="CYA",0,T175-T172)</f>
        <v>0</v>
      </c>
      <c r="BH175" s="281">
        <f t="shared" ref="BH175" si="414">IF(U$20="CYA",0,U175-U172)</f>
        <v>0</v>
      </c>
      <c r="BI175" s="281">
        <f t="shared" ref="BI175" si="415">IF(V$20="CYA",0,V175-V172)</f>
        <v>0</v>
      </c>
    </row>
    <row r="176" spans="1:63" s="55" customFormat="1" ht="16.8">
      <c r="A176" s="105"/>
      <c r="B176" s="106"/>
      <c r="C176" s="112"/>
      <c r="D176" s="110"/>
      <c r="E176" s="112"/>
      <c r="F176" s="74"/>
      <c r="G176" s="100" t="s">
        <v>507</v>
      </c>
      <c r="H176" s="100"/>
      <c r="I176" s="100"/>
      <c r="J176" s="147"/>
      <c r="K176" s="150">
        <f>IF(K$59=0,0,K175/K$59)</f>
        <v>3.814768154195413E-2</v>
      </c>
      <c r="L176" s="150">
        <f>IF(L$59=0,0,L175/L$59)</f>
        <v>4.1833709801085459E-2</v>
      </c>
      <c r="M176" s="150">
        <f>IF(M$59=0,0,M175/M$59)</f>
        <v>3.793522732220457E-2</v>
      </c>
      <c r="N176" s="150">
        <f>IF(N$59=0,0,N175/N$59)</f>
        <v>4.1953572462250663E-2</v>
      </c>
      <c r="O176" s="150">
        <f>IF(O$59=0,0,O175/O$59)</f>
        <v>3.8889596973494069E-2</v>
      </c>
      <c r="P176" s="150">
        <f>IF(P$59=0,0,P175/P$59)</f>
        <v>4.1965598013529407E-2</v>
      </c>
      <c r="Q176" s="150">
        <f>IF(Q$59=0,0,Q175/Q$59)</f>
        <v>3.8048444272060382E-2</v>
      </c>
      <c r="R176" s="150">
        <f>IF(R$59=0,0,R175/R$59)</f>
        <v>4.306742328730008E-2</v>
      </c>
      <c r="S176" s="150">
        <f>IF(S$59=0,0,S175/S$59)</f>
        <v>3.3119673401798347E-2</v>
      </c>
      <c r="T176" s="150">
        <f>IF(T$59=0,0,T175/T$59)</f>
        <v>3.3654664798169524E-2</v>
      </c>
      <c r="U176" s="150">
        <f>IF(U$59=0,0,U175/U$59)</f>
        <v>3.4232956439397361E-2</v>
      </c>
      <c r="V176" s="150">
        <f>IF(V$59=0,0,V175/V$59)</f>
        <v>3.5258499315837716E-2</v>
      </c>
      <c r="W176" s="150">
        <f>IF(W$59=0,0,W175/W$59)</f>
        <v>3.8272250585580203E-2</v>
      </c>
      <c r="X176" s="147"/>
      <c r="Y176" s="150">
        <f>IF(Y$59=0,0,Y175/Y$59)</f>
        <v>3.4018361645761525E-2</v>
      </c>
      <c r="Z176" s="101"/>
      <c r="AA176" s="102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67"/>
      <c r="AP176" s="111"/>
      <c r="AQ176" s="111"/>
      <c r="AR176" s="167"/>
      <c r="AS176" s="167"/>
      <c r="AT176" s="167"/>
      <c r="AU176" s="111"/>
      <c r="AV176" s="111"/>
      <c r="AW176" s="111"/>
      <c r="AX176" s="111"/>
      <c r="AY176" s="111"/>
      <c r="AZ176" s="111"/>
      <c r="BA176" s="111"/>
      <c r="BB176" s="111"/>
      <c r="BC176" s="111"/>
      <c r="BD176" s="111"/>
      <c r="BE176" s="111"/>
      <c r="BF176" s="111"/>
      <c r="BG176" s="111"/>
      <c r="BH176" s="111"/>
      <c r="BI176" s="111"/>
    </row>
    <row r="177" spans="1:63" ht="16.8">
      <c r="A177" s="105"/>
      <c r="B177" s="106"/>
      <c r="C177" s="112"/>
      <c r="D177" s="110"/>
      <c r="E177" s="112"/>
      <c r="F177" s="74"/>
      <c r="G177" s="95"/>
      <c r="H177" s="95"/>
      <c r="I177" s="95"/>
      <c r="J177" s="67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67"/>
      <c r="AR177" s="167"/>
      <c r="AS177" s="167"/>
      <c r="AT177" s="167"/>
      <c r="AU177" s="111"/>
      <c r="AV177" s="111"/>
      <c r="AW177" s="111"/>
      <c r="AX177" s="111"/>
      <c r="AY177" s="111"/>
      <c r="AZ177" s="111"/>
      <c r="BA177" s="111"/>
      <c r="BB177" s="111"/>
      <c r="BC177" s="111"/>
      <c r="BD177" s="111"/>
      <c r="BE177" s="111"/>
      <c r="BF177" s="111"/>
      <c r="BG177" s="111"/>
      <c r="BH177" s="111"/>
      <c r="BI177" s="111"/>
    </row>
    <row r="178" spans="1:63" ht="17.399999999999999" thickBot="1">
      <c r="A178" s="105" t="str">
        <f>C178</f>
        <v>E_Drugs</v>
      </c>
      <c r="B178" s="106"/>
      <c r="C178" s="112" t="s">
        <v>344</v>
      </c>
      <c r="D178" s="110"/>
      <c r="E178" s="112"/>
      <c r="F178" s="74"/>
      <c r="G178" s="95" t="s">
        <v>238</v>
      </c>
      <c r="H178" s="95"/>
      <c r="I178" s="95"/>
      <c r="J178" s="67"/>
      <c r="K178" s="96">
        <v>2503613.11</v>
      </c>
      <c r="L178" s="96">
        <v>2778615.07</v>
      </c>
      <c r="M178" s="96">
        <v>2540641.25</v>
      </c>
      <c r="N178" s="96">
        <v>2744925.51</v>
      </c>
      <c r="O178" s="96">
        <v>2703877.0999999996</v>
      </c>
      <c r="P178" s="96">
        <v>1902188.8654904605</v>
      </c>
      <c r="Q178" s="96">
        <v>1985732.5116570005</v>
      </c>
      <c r="R178" s="96">
        <v>1989492.0648073782</v>
      </c>
      <c r="S178" s="96">
        <v>2127921.3177094413</v>
      </c>
      <c r="T178" s="96">
        <v>2159253.5064569484</v>
      </c>
      <c r="U178" s="96">
        <v>2284109.4445094122</v>
      </c>
      <c r="V178" s="96">
        <v>2311322.9783982323</v>
      </c>
      <c r="W178" s="96">
        <f>SUM(K178:V178)</f>
        <v>28031692.729028877</v>
      </c>
      <c r="X178" s="96"/>
      <c r="Y178" s="96">
        <v>26959122.470825221</v>
      </c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R178" s="167"/>
      <c r="AS178" s="167"/>
      <c r="AT178" s="167"/>
      <c r="AU178" s="111"/>
      <c r="AV178" s="111"/>
      <c r="AW178" s="111">
        <v>1</v>
      </c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1"/>
    </row>
    <row r="179" spans="1:63" ht="18" thickTop="1" thickBot="1">
      <c r="A179" s="105"/>
      <c r="B179" s="106"/>
      <c r="C179" s="112" t="str">
        <f>"ACCT.FSDetail='"&amp;C178&amp;"'"</f>
        <v>ACCT.FSDetail='E_Drugs'</v>
      </c>
      <c r="D179" s="110" t="s">
        <v>411</v>
      </c>
      <c r="E179" s="112"/>
      <c r="F179" s="58"/>
      <c r="G179" s="95" t="s">
        <v>328</v>
      </c>
      <c r="H179" s="95"/>
      <c r="I179" s="95"/>
      <c r="J179" s="46"/>
      <c r="K179" s="86">
        <v>0</v>
      </c>
      <c r="L179" s="86">
        <v>0</v>
      </c>
      <c r="M179" s="86">
        <v>0</v>
      </c>
      <c r="N179" s="86">
        <v>0</v>
      </c>
      <c r="O179" s="86">
        <v>0</v>
      </c>
      <c r="P179" s="86">
        <v>0</v>
      </c>
      <c r="Q179" s="86">
        <v>0</v>
      </c>
      <c r="R179" s="86">
        <v>0</v>
      </c>
      <c r="S179" s="90">
        <f t="shared" ref="S179:V180" si="416">AK179</f>
        <v>0</v>
      </c>
      <c r="T179" s="90">
        <f t="shared" si="416"/>
        <v>0</v>
      </c>
      <c r="U179" s="90">
        <f t="shared" si="416"/>
        <v>0</v>
      </c>
      <c r="V179" s="90">
        <f t="shared" si="416"/>
        <v>0</v>
      </c>
      <c r="W179" s="97">
        <f>IF(W181=0,0,1-(SUM(W180,W178)/W181))</f>
        <v>0</v>
      </c>
      <c r="X179" s="97"/>
      <c r="Y179" s="97"/>
      <c r="Z179" s="97"/>
      <c r="AA179" s="97"/>
      <c r="AB179" s="97"/>
      <c r="AC179" s="97" cm="1">
        <f t="array" ref="AC179">IF(AC$7="",0,_xll.GetData(AC$7,$AQ179))</f>
        <v>0</v>
      </c>
      <c r="AD179" s="97" cm="1">
        <f t="array" ref="AD179">IF(AD$7="",0,_xll.GetData(AD$7,$AQ179))</f>
        <v>0</v>
      </c>
      <c r="AE179" s="97" cm="1">
        <f t="array" ref="AE179">IF(AE$7="",0,_xll.GetData(AE$7,$AQ179))</f>
        <v>0</v>
      </c>
      <c r="AF179" s="97" cm="1">
        <f t="array" ref="AF179">IF(AF$7="",0,_xll.GetData(AF$7,$AQ179))</f>
        <v>0</v>
      </c>
      <c r="AG179" s="97" cm="1">
        <f t="array" ref="AG179">IF(AG$7="",0,_xll.GetData(AG$7,$AQ179))</f>
        <v>0</v>
      </c>
      <c r="AH179" s="97" cm="1">
        <f t="array" ref="AH179">IF(AH$7="",0,_xll.GetData(AH$7,$AQ179))</f>
        <v>0</v>
      </c>
      <c r="AI179" s="97" cm="1">
        <f t="array" ref="AI179">IF(AI$7="",0,_xll.GetData(AI$7,$AQ179))</f>
        <v>0</v>
      </c>
      <c r="AJ179" s="97" cm="1">
        <f t="array" ref="AJ179">IF(AJ$7="",0,_xll.GetData(AJ$7,$AQ179))</f>
        <v>0</v>
      </c>
      <c r="AK179" s="97" cm="1">
        <f t="array" ref="AK179">IF(AK$7="",0,_xll.GetData(AK$7,$AQ179))</f>
        <v>0</v>
      </c>
      <c r="AL179" s="97" cm="1">
        <f t="array" ref="AL179">IF(AL$7="",0,_xll.GetData(AL$7,$AQ179))</f>
        <v>0</v>
      </c>
      <c r="AM179" s="97" cm="1">
        <f t="array" ref="AM179">IF(AM$7="",0,_xll.GetData(AM$7,$AQ179))</f>
        <v>0</v>
      </c>
      <c r="AN179" s="97" cm="1">
        <f t="array" ref="AN179">IF(AN$7="",0,_xll.GetData(AN$7,$AQ179))</f>
        <v>0</v>
      </c>
      <c r="AO179" s="46"/>
      <c r="AP179" s="111">
        <f>AP181</f>
        <v>49</v>
      </c>
      <c r="AQ179" s="111" t="str">
        <f>"Dept="&amp;AU179&amp;" And Acct="&amp;AV179</f>
        <v>Dept=0 And Acct=62200</v>
      </c>
      <c r="AR179" s="167" t="str">
        <f>IF(OR(AU179=0,AV179=0),"NoSave","[Save]")</f>
        <v>NoSave</v>
      </c>
      <c r="AS179" s="167"/>
      <c r="AT179" s="167"/>
      <c r="AU179" s="111">
        <f>AU181</f>
        <v>0</v>
      </c>
      <c r="AV179" s="111">
        <f>AV181</f>
        <v>62200</v>
      </c>
      <c r="AW179" s="111">
        <v>1</v>
      </c>
      <c r="AX179" s="280">
        <f>IF(K$20="CYA",0,K179)</f>
        <v>0</v>
      </c>
      <c r="AY179" s="280">
        <f t="shared" ref="AY179:AY180" si="417">IF(L$20="CYA",0,L179)</f>
        <v>0</v>
      </c>
      <c r="AZ179" s="280">
        <f t="shared" ref="AZ179:AZ180" si="418">IF(M$20="CYA",0,M179)</f>
        <v>0</v>
      </c>
      <c r="BA179" s="280">
        <f t="shared" ref="BA179:BA180" si="419">IF(N$20="CYA",0,N179)</f>
        <v>0</v>
      </c>
      <c r="BB179" s="280">
        <f t="shared" ref="BB179:BB180" si="420">IF(O$20="CYA",0,O179)</f>
        <v>0</v>
      </c>
      <c r="BC179" s="280">
        <f t="shared" ref="BC179:BC180" si="421">IF(P$20="CYA",0,P179)</f>
        <v>0</v>
      </c>
      <c r="BD179" s="280">
        <f t="shared" ref="BD179:BD180" si="422">IF(Q$20="CYA",0,Q179)</f>
        <v>0</v>
      </c>
      <c r="BE179" s="280">
        <f t="shared" ref="BE179:BE180" si="423">IF(R$20="CYA",0,R179)</f>
        <v>0</v>
      </c>
      <c r="BF179" s="280">
        <f t="shared" ref="BF179:BF180" si="424">IF(S$20="CYA",0,S179)</f>
        <v>0</v>
      </c>
      <c r="BG179" s="280">
        <f t="shared" ref="BG179:BG180" si="425">IF(T$20="CYA",0,T179)</f>
        <v>0</v>
      </c>
      <c r="BH179" s="280">
        <f t="shared" ref="BH179:BH180" si="426">IF(U$20="CYA",0,U179)</f>
        <v>0</v>
      </c>
      <c r="BI179" s="280">
        <f t="shared" ref="BI179:BI180" si="427">IF(V$20="CYA",0,V179)</f>
        <v>0</v>
      </c>
      <c r="BJ179" s="90">
        <f>CB179</f>
        <v>0</v>
      </c>
      <c r="BK179" s="86">
        <v>0</v>
      </c>
    </row>
    <row r="180" spans="1:63" ht="18" thickTop="1" thickBot="1">
      <c r="A180" s="113"/>
      <c r="B180" s="106"/>
      <c r="C180" s="112" t="str">
        <f>C179</f>
        <v>ACCT.FSDetail='E_Drugs'</v>
      </c>
      <c r="D180" s="110" t="s">
        <v>411</v>
      </c>
      <c r="E180" s="112"/>
      <c r="F180" s="58"/>
      <c r="G180" s="95" t="s">
        <v>329</v>
      </c>
      <c r="H180" s="95"/>
      <c r="I180" s="95"/>
      <c r="J180" s="67"/>
      <c r="K180" s="96">
        <v>0</v>
      </c>
      <c r="L180" s="96">
        <v>0</v>
      </c>
      <c r="M180" s="96">
        <v>0</v>
      </c>
      <c r="N180" s="96">
        <v>0</v>
      </c>
      <c r="O180" s="96">
        <v>0</v>
      </c>
      <c r="P180" s="96">
        <v>0</v>
      </c>
      <c r="Q180" s="96">
        <v>0</v>
      </c>
      <c r="R180" s="96">
        <v>0</v>
      </c>
      <c r="S180" s="89">
        <f t="shared" si="416"/>
        <v>0</v>
      </c>
      <c r="T180" s="89">
        <f t="shared" si="416"/>
        <v>0</v>
      </c>
      <c r="U180" s="89">
        <f t="shared" si="416"/>
        <v>0</v>
      </c>
      <c r="V180" s="89">
        <f t="shared" si="416"/>
        <v>0</v>
      </c>
      <c r="W180" s="96">
        <f>SUM(K180:V180)</f>
        <v>0</v>
      </c>
      <c r="X180" s="96"/>
      <c r="Y180" s="96"/>
      <c r="Z180" s="96"/>
      <c r="AA180" s="96"/>
      <c r="AB180" s="96"/>
      <c r="AC180" s="96" cm="1">
        <f t="array" ref="AC180">IF(AC$8="",0,_xll.GetData(AC$8,$AQ180))</f>
        <v>0</v>
      </c>
      <c r="AD180" s="96" cm="1">
        <f t="array" ref="AD180">IF(AD$8="",0,_xll.GetData(AD$8,$AQ180))</f>
        <v>0</v>
      </c>
      <c r="AE180" s="96" cm="1">
        <f t="array" ref="AE180">IF(AE$8="",0,_xll.GetData(AE$8,$AQ180))</f>
        <v>0</v>
      </c>
      <c r="AF180" s="96" cm="1">
        <f t="array" ref="AF180">IF(AF$8="",0,_xll.GetData(AF$8,$AQ180))</f>
        <v>0</v>
      </c>
      <c r="AG180" s="96" cm="1">
        <f t="array" ref="AG180">IF(AG$8="",0,_xll.GetData(AG$8,$AQ180))</f>
        <v>0</v>
      </c>
      <c r="AH180" s="96" cm="1">
        <f t="array" ref="AH180">IF(AH$8="",0,_xll.GetData(AH$8,$AQ180))</f>
        <v>0</v>
      </c>
      <c r="AI180" s="96" cm="1">
        <f t="array" ref="AI180">IF(AI$8="",0,_xll.GetData(AI$8,$AQ180))</f>
        <v>0</v>
      </c>
      <c r="AJ180" s="96" cm="1">
        <f t="array" ref="AJ180">IF(AJ$8="",0,_xll.GetData(AJ$8,$AQ180))</f>
        <v>0</v>
      </c>
      <c r="AK180" s="96" cm="1">
        <f t="array" ref="AK180">IF(AK$8="",0,_xll.GetData(AK$8,$AQ180))</f>
        <v>0</v>
      </c>
      <c r="AL180" s="96" cm="1">
        <f t="array" ref="AL180">IF(AL$8="",0,_xll.GetData(AL$8,$AQ180))</f>
        <v>0</v>
      </c>
      <c r="AM180" s="96" cm="1">
        <f t="array" ref="AM180">IF(AM$8="",0,_xll.GetData(AM$8,$AQ180))</f>
        <v>0</v>
      </c>
      <c r="AN180" s="96" cm="1">
        <f t="array" ref="AN180">IF(AN$8="",0,_xll.GetData(AN$8,$AQ180))</f>
        <v>0</v>
      </c>
      <c r="AO180" s="69"/>
      <c r="AP180" s="111">
        <f>AP181</f>
        <v>49</v>
      </c>
      <c r="AQ180" s="111" t="str">
        <f>"Dept="&amp;AU180&amp;" And Acct="&amp;AV180</f>
        <v>Dept=0 And Acct=62200</v>
      </c>
      <c r="AR180" s="167"/>
      <c r="AS180" s="167" t="str">
        <f>IF(OR(AU180=0,AV180=0),"NoSave","[Save]")</f>
        <v>NoSave</v>
      </c>
      <c r="AT180" s="167"/>
      <c r="AU180" s="111">
        <f>AU181</f>
        <v>0</v>
      </c>
      <c r="AV180" s="111">
        <f>AV181</f>
        <v>62200</v>
      </c>
      <c r="AW180" s="111">
        <v>1</v>
      </c>
      <c r="AX180" s="281">
        <f>IF(K$20="CYA",0,K180)</f>
        <v>0</v>
      </c>
      <c r="AY180" s="281">
        <f t="shared" si="417"/>
        <v>0</v>
      </c>
      <c r="AZ180" s="281">
        <f t="shared" si="418"/>
        <v>0</v>
      </c>
      <c r="BA180" s="281">
        <f t="shared" si="419"/>
        <v>0</v>
      </c>
      <c r="BB180" s="281">
        <f t="shared" si="420"/>
        <v>0</v>
      </c>
      <c r="BC180" s="281">
        <f t="shared" si="421"/>
        <v>0</v>
      </c>
      <c r="BD180" s="281">
        <f t="shared" si="422"/>
        <v>0</v>
      </c>
      <c r="BE180" s="281">
        <f t="shared" si="423"/>
        <v>0</v>
      </c>
      <c r="BF180" s="281">
        <f t="shared" si="424"/>
        <v>0</v>
      </c>
      <c r="BG180" s="281">
        <f t="shared" si="425"/>
        <v>0</v>
      </c>
      <c r="BH180" s="281">
        <f t="shared" si="426"/>
        <v>0</v>
      </c>
      <c r="BI180" s="281">
        <f t="shared" si="427"/>
        <v>0</v>
      </c>
      <c r="BJ180" s="89">
        <f>CB180</f>
        <v>0</v>
      </c>
      <c r="BK180" s="96">
        <v>0</v>
      </c>
    </row>
    <row r="181" spans="1:63" ht="17.399999999999999" thickTop="1">
      <c r="A181" s="105"/>
      <c r="B181" s="114" t="str">
        <f>C178</f>
        <v>E_Drugs</v>
      </c>
      <c r="C181" s="112" t="s">
        <v>278</v>
      </c>
      <c r="D181" s="110"/>
      <c r="E181" s="112"/>
      <c r="F181" s="74"/>
      <c r="G181" s="100" t="str">
        <f>"   Total "&amp;G178</f>
        <v xml:space="preserve">   Total Drugs</v>
      </c>
      <c r="H181" s="100"/>
      <c r="I181" s="100"/>
      <c r="J181" s="116"/>
      <c r="K181" s="116">
        <f>IF(K$20="CYA",K178,K178*(1+K179)+K180)</f>
        <v>2503613.11</v>
      </c>
      <c r="L181" s="116">
        <f>IF(L$20="CYA",L178,L178*(1+L179)+L180)</f>
        <v>2778615.07</v>
      </c>
      <c r="M181" s="116">
        <f>IF(M$20="CYA",M178,M178*(1+M179)+M180)</f>
        <v>2540641.25</v>
      </c>
      <c r="N181" s="116">
        <f>IF(N$20="CYA",N178,N178*(1+N179)+N180)</f>
        <v>2744925.51</v>
      </c>
      <c r="O181" s="116">
        <f>IF(O$20="CYA",O178,O178*(1+O179)+O180)</f>
        <v>2703877.0999999996</v>
      </c>
      <c r="P181" s="116">
        <f>IF(P$20="CYA",P178,P178*(1+P179)+P180)</f>
        <v>1902188.8654904605</v>
      </c>
      <c r="Q181" s="116">
        <f>IF(Q$20="CYA",Q178,Q178*(1+Q179)+Q180)</f>
        <v>1985732.5116570005</v>
      </c>
      <c r="R181" s="116">
        <f>IF(R$20="CYA",R178,R178*(1+R179)+R180)</f>
        <v>1989492.0648073782</v>
      </c>
      <c r="S181" s="116">
        <f>IF(S$20="CYA",S178,S178*(1+S179)+S180)</f>
        <v>2127921.3177094413</v>
      </c>
      <c r="T181" s="116">
        <f>IF(T$20="CYA",T178,T178*(1+T179)+T180)</f>
        <v>2159253.5064569484</v>
      </c>
      <c r="U181" s="116">
        <f>IF(U$20="CYA",U178,U178*(1+U179)+U180)</f>
        <v>2284109.4445094122</v>
      </c>
      <c r="V181" s="116">
        <f>IF(V$20="CYA",V178,V178*(1+V179)+V180)</f>
        <v>2311322.9783982323</v>
      </c>
      <c r="W181" s="116">
        <f>SUM(K181:V181)</f>
        <v>28031692.729028877</v>
      </c>
      <c r="X181" s="116"/>
      <c r="Y181" s="116">
        <f>SUM(Y178:Y180)</f>
        <v>26959122.470825221</v>
      </c>
      <c r="Z181" s="116">
        <f>Y181-W181</f>
        <v>-1072570.2582036555</v>
      </c>
      <c r="AA181" s="102">
        <f>IF(Y181=0,0,Z181/Y181)</f>
        <v>-3.9785058262351666E-2</v>
      </c>
      <c r="AB181" s="116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67"/>
      <c r="AP181" s="111">
        <f>ROW(Control!D49)</f>
        <v>49</v>
      </c>
      <c r="AQ181" s="111"/>
      <c r="AR181" s="167"/>
      <c r="AS181" s="167"/>
      <c r="AT181" s="167" t="str">
        <f>IF(OR(AU181=0,AV181=0),"NoSave","[Save]")</f>
        <v>NoSave</v>
      </c>
      <c r="AU181" s="111" cm="1">
        <f t="array" ref="AU181">INDEX(Control!G$1:G$9997,$AP181)</f>
        <v>0</v>
      </c>
      <c r="AV181" s="111" cm="1">
        <f t="array" ref="AV181">INDEX(Control!I$1:I$9997,$AP181)</f>
        <v>62200</v>
      </c>
      <c r="AW181" s="111">
        <v>1</v>
      </c>
      <c r="AX181" s="281">
        <f>IF(K$20="CYA",0,K181-K178)</f>
        <v>0</v>
      </c>
      <c r="AY181" s="281">
        <f t="shared" ref="AY181" si="428">IF(L$20="CYA",0,L181-L178)</f>
        <v>0</v>
      </c>
      <c r="AZ181" s="281">
        <f t="shared" ref="AZ181" si="429">IF(M$20="CYA",0,M181-M178)</f>
        <v>0</v>
      </c>
      <c r="BA181" s="281">
        <f t="shared" ref="BA181" si="430">IF(N$20="CYA",0,N181-N178)</f>
        <v>0</v>
      </c>
      <c r="BB181" s="281">
        <f t="shared" ref="BB181" si="431">IF(O$20="CYA",0,O181-O178)</f>
        <v>0</v>
      </c>
      <c r="BC181" s="281">
        <f t="shared" ref="BC181" si="432">IF(P$20="CYA",0,P181-P178)</f>
        <v>0</v>
      </c>
      <c r="BD181" s="281">
        <f t="shared" ref="BD181" si="433">IF(Q$20="CYA",0,Q181-Q178)</f>
        <v>0</v>
      </c>
      <c r="BE181" s="281">
        <f t="shared" ref="BE181" si="434">IF(R$20="CYA",0,R181-R178)</f>
        <v>0</v>
      </c>
      <c r="BF181" s="281">
        <f t="shared" ref="BF181" si="435">IF(S$20="CYA",0,S181-S178)</f>
        <v>0</v>
      </c>
      <c r="BG181" s="281">
        <f t="shared" ref="BG181" si="436">IF(T$20="CYA",0,T181-T178)</f>
        <v>0</v>
      </c>
      <c r="BH181" s="281">
        <f t="shared" ref="BH181" si="437">IF(U$20="CYA",0,U181-U178)</f>
        <v>0</v>
      </c>
      <c r="BI181" s="281">
        <f t="shared" ref="BI181" si="438">IF(V$20="CYA",0,V181-V178)</f>
        <v>0</v>
      </c>
    </row>
    <row r="182" spans="1:63" s="55" customFormat="1" ht="16.8">
      <c r="A182" s="105"/>
      <c r="B182" s="106"/>
      <c r="C182" s="112"/>
      <c r="D182" s="110"/>
      <c r="E182" s="112"/>
      <c r="F182" s="74"/>
      <c r="G182" s="100" t="s">
        <v>507</v>
      </c>
      <c r="H182" s="100"/>
      <c r="I182" s="100"/>
      <c r="J182" s="147"/>
      <c r="K182" s="150">
        <f>IF(K$59=0,0,K181/K$59)</f>
        <v>4.2450915011422091E-2</v>
      </c>
      <c r="L182" s="150">
        <f>IF(L$59=0,0,L181/L$59)</f>
        <v>4.5974628919998352E-2</v>
      </c>
      <c r="M182" s="150">
        <f>IF(M$59=0,0,M181/M$59)</f>
        <v>4.1416277740290948E-2</v>
      </c>
      <c r="N182" s="150">
        <f>IF(N$59=0,0,N181/N$59)</f>
        <v>4.5525848557724562E-2</v>
      </c>
      <c r="O182" s="150">
        <f>IF(O$59=0,0,O181/O$59)</f>
        <v>4.4009873430407478E-2</v>
      </c>
      <c r="P182" s="150">
        <f>IF(P$59=0,0,P181/P$59)</f>
        <v>4.5098289355034148E-2</v>
      </c>
      <c r="Q182" s="150">
        <f>IF(Q$59=0,0,Q181/Q$59)</f>
        <v>4.5263631292270783E-2</v>
      </c>
      <c r="R182" s="150">
        <f>IF(R$59=0,0,R181/R$59)</f>
        <v>4.4426327246994538E-2</v>
      </c>
      <c r="S182" s="150">
        <f>IF(S$59=0,0,S181/S$59)</f>
        <v>4.6657341910254196E-2</v>
      </c>
      <c r="T182" s="150">
        <f>IF(T$59=0,0,T181/T$59)</f>
        <v>4.5819808206992496E-2</v>
      </c>
      <c r="U182" s="150">
        <f>IF(U$59=0,0,U181/U$59)</f>
        <v>4.6036717991897548E-2</v>
      </c>
      <c r="V182" s="150">
        <f>IF(V$59=0,0,V181/V$59)</f>
        <v>4.4996584142281526E-2</v>
      </c>
      <c r="W182" s="150">
        <f>IF(W$59=0,0,W181/W$59)</f>
        <v>4.4705128446578535E-2</v>
      </c>
      <c r="X182" s="147"/>
      <c r="Y182" s="150">
        <f>IF(Y$59=0,0,Y181/Y$59)</f>
        <v>4.3670070032414E-2</v>
      </c>
      <c r="Z182" s="101"/>
      <c r="AA182" s="102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67"/>
      <c r="AP182" s="111"/>
      <c r="AQ182" s="111"/>
      <c r="AR182" s="167"/>
      <c r="AS182" s="167"/>
      <c r="AT182" s="167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</row>
    <row r="183" spans="1:63" ht="16.8">
      <c r="A183" s="105"/>
      <c r="B183" s="106"/>
      <c r="C183" s="112"/>
      <c r="D183" s="110"/>
      <c r="E183" s="112"/>
      <c r="F183" s="74"/>
      <c r="G183" s="95"/>
      <c r="H183" s="95"/>
      <c r="I183" s="95"/>
      <c r="J183" s="67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67"/>
      <c r="AR183" s="167"/>
      <c r="AS183" s="167"/>
      <c r="AT183" s="167"/>
      <c r="AU183" s="111"/>
      <c r="AV183" s="111"/>
      <c r="AW183" s="111"/>
      <c r="AX183" s="111"/>
      <c r="AY183" s="111"/>
      <c r="AZ183" s="111"/>
      <c r="BA183" s="111"/>
      <c r="BB183" s="111"/>
      <c r="BC183" s="111"/>
      <c r="BD183" s="111"/>
      <c r="BE183" s="111"/>
      <c r="BF183" s="111"/>
      <c r="BG183" s="111"/>
      <c r="BH183" s="111"/>
      <c r="BI183" s="111"/>
    </row>
    <row r="184" spans="1:63" ht="17.399999999999999" thickBot="1">
      <c r="A184" s="105" t="str">
        <f>C184</f>
        <v>E_OthSupplies</v>
      </c>
      <c r="B184" s="106"/>
      <c r="C184" s="112" t="s">
        <v>345</v>
      </c>
      <c r="D184" s="110"/>
      <c r="E184" s="112"/>
      <c r="F184" s="74"/>
      <c r="G184" s="95" t="s">
        <v>239</v>
      </c>
      <c r="H184" s="95"/>
      <c r="I184" s="95"/>
      <c r="J184" s="67"/>
      <c r="K184" s="96">
        <v>611883</v>
      </c>
      <c r="L184" s="96">
        <v>768799.85</v>
      </c>
      <c r="M184" s="96">
        <v>629196.5</v>
      </c>
      <c r="N184" s="96">
        <v>608020.9800000001</v>
      </c>
      <c r="O184" s="96">
        <v>712822.49</v>
      </c>
      <c r="P184" s="96">
        <v>422487.74342882715</v>
      </c>
      <c r="Q184" s="96">
        <v>443487.35807489062</v>
      </c>
      <c r="R184" s="96">
        <v>447418.35494852089</v>
      </c>
      <c r="S184" s="96">
        <v>483290.16415370663</v>
      </c>
      <c r="T184" s="96">
        <v>499464.84633717238</v>
      </c>
      <c r="U184" s="96">
        <v>526035.75865150639</v>
      </c>
      <c r="V184" s="96">
        <v>542523.03627874842</v>
      </c>
      <c r="W184" s="96">
        <f>SUM(K184:V184)</f>
        <v>6695430.0818733722</v>
      </c>
      <c r="X184" s="96"/>
      <c r="Y184" s="96">
        <v>6641323.6940162834</v>
      </c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R184" s="167"/>
      <c r="AS184" s="167"/>
      <c r="AT184" s="167"/>
      <c r="AU184" s="111"/>
      <c r="AV184" s="111"/>
      <c r="AW184" s="111">
        <v>1</v>
      </c>
      <c r="AX184" s="111"/>
      <c r="AY184" s="111"/>
      <c r="AZ184" s="111"/>
      <c r="BA184" s="111"/>
      <c r="BB184" s="111"/>
      <c r="BC184" s="111"/>
      <c r="BD184" s="111"/>
      <c r="BE184" s="111"/>
      <c r="BF184" s="111"/>
      <c r="BG184" s="111"/>
      <c r="BH184" s="111"/>
      <c r="BI184" s="111"/>
    </row>
    <row r="185" spans="1:63" ht="18" thickTop="1" thickBot="1">
      <c r="A185" s="105"/>
      <c r="B185" s="106"/>
      <c r="C185" s="112" t="str">
        <f>"ACCT.FSDetail='"&amp;C184&amp;"'"</f>
        <v>ACCT.FSDetail='E_OthSupplies'</v>
      </c>
      <c r="D185" s="110" t="s">
        <v>411</v>
      </c>
      <c r="E185" s="112"/>
      <c r="F185" s="58"/>
      <c r="G185" s="95" t="s">
        <v>328</v>
      </c>
      <c r="H185" s="95"/>
      <c r="I185" s="95"/>
      <c r="J185" s="46"/>
      <c r="K185" s="86">
        <v>0</v>
      </c>
      <c r="L185" s="86">
        <v>0</v>
      </c>
      <c r="M185" s="86">
        <v>0</v>
      </c>
      <c r="N185" s="86">
        <v>0</v>
      </c>
      <c r="O185" s="86">
        <v>0</v>
      </c>
      <c r="P185" s="86">
        <v>0</v>
      </c>
      <c r="Q185" s="86">
        <v>0</v>
      </c>
      <c r="R185" s="86">
        <v>0</v>
      </c>
      <c r="S185" s="90">
        <f t="shared" ref="S185:V186" si="439">AK185</f>
        <v>0</v>
      </c>
      <c r="T185" s="90">
        <f t="shared" si="439"/>
        <v>0</v>
      </c>
      <c r="U185" s="90">
        <f t="shared" si="439"/>
        <v>0</v>
      </c>
      <c r="V185" s="90">
        <f t="shared" si="439"/>
        <v>0</v>
      </c>
      <c r="W185" s="97">
        <f>IF(W187=0,0,1-(SUM(W186,W184)/W187))</f>
        <v>0</v>
      </c>
      <c r="X185" s="97"/>
      <c r="Y185" s="97"/>
      <c r="Z185" s="97"/>
      <c r="AA185" s="97"/>
      <c r="AB185" s="97"/>
      <c r="AC185" s="97" cm="1">
        <f t="array" ref="AC185">IF(AC$7="",0,_xll.GetData(AC$7,$AQ185))</f>
        <v>0</v>
      </c>
      <c r="AD185" s="97" cm="1">
        <f t="array" ref="AD185">IF(AD$7="",0,_xll.GetData(AD$7,$AQ185))</f>
        <v>0</v>
      </c>
      <c r="AE185" s="97" cm="1">
        <f t="array" ref="AE185">IF(AE$7="",0,_xll.GetData(AE$7,$AQ185))</f>
        <v>0</v>
      </c>
      <c r="AF185" s="97" cm="1">
        <f t="array" ref="AF185">IF(AF$7="",0,_xll.GetData(AF$7,$AQ185))</f>
        <v>0</v>
      </c>
      <c r="AG185" s="97" cm="1">
        <f t="array" ref="AG185">IF(AG$7="",0,_xll.GetData(AG$7,$AQ185))</f>
        <v>0</v>
      </c>
      <c r="AH185" s="97" cm="1">
        <f t="array" ref="AH185">IF(AH$7="",0,_xll.GetData(AH$7,$AQ185))</f>
        <v>0</v>
      </c>
      <c r="AI185" s="97" cm="1">
        <f t="array" ref="AI185">IF(AI$7="",0,_xll.GetData(AI$7,$AQ185))</f>
        <v>0</v>
      </c>
      <c r="AJ185" s="97" cm="1">
        <f t="array" ref="AJ185">IF(AJ$7="",0,_xll.GetData(AJ$7,$AQ185))</f>
        <v>0</v>
      </c>
      <c r="AK185" s="97" cm="1">
        <f t="array" ref="AK185">IF(AK$7="",0,_xll.GetData(AK$7,$AQ185))</f>
        <v>0</v>
      </c>
      <c r="AL185" s="97" cm="1">
        <f t="array" ref="AL185">IF(AL$7="",0,_xll.GetData(AL$7,$AQ185))</f>
        <v>0</v>
      </c>
      <c r="AM185" s="97" cm="1">
        <f t="array" ref="AM185">IF(AM$7="",0,_xll.GetData(AM$7,$AQ185))</f>
        <v>0</v>
      </c>
      <c r="AN185" s="97" cm="1">
        <f t="array" ref="AN185">IF(AN$7="",0,_xll.GetData(AN$7,$AQ185))</f>
        <v>0</v>
      </c>
      <c r="AO185" s="46"/>
      <c r="AP185" s="111">
        <f>AP187</f>
        <v>50</v>
      </c>
      <c r="AQ185" s="111" t="str">
        <f>"Dept="&amp;AU185&amp;" And Acct="&amp;AV185</f>
        <v>Dept=0 And Acct=62100</v>
      </c>
      <c r="AR185" s="167" t="str">
        <f>IF(OR(AU185=0,AV185=0),"NoSave","[Save]")</f>
        <v>NoSave</v>
      </c>
      <c r="AS185" s="167"/>
      <c r="AT185" s="167"/>
      <c r="AU185" s="111">
        <f>AU187</f>
        <v>0</v>
      </c>
      <c r="AV185" s="111">
        <f>AV187</f>
        <v>62100</v>
      </c>
      <c r="AW185" s="111">
        <v>1</v>
      </c>
      <c r="AX185" s="280">
        <f>IF(K$20="CYA",0,K185)</f>
        <v>0</v>
      </c>
      <c r="AY185" s="280">
        <f t="shared" ref="AY185:AY186" si="440">IF(L$20="CYA",0,L185)</f>
        <v>0</v>
      </c>
      <c r="AZ185" s="280">
        <f t="shared" ref="AZ185:AZ186" si="441">IF(M$20="CYA",0,M185)</f>
        <v>0</v>
      </c>
      <c r="BA185" s="280">
        <f t="shared" ref="BA185:BA186" si="442">IF(N$20="CYA",0,N185)</f>
        <v>0</v>
      </c>
      <c r="BB185" s="280">
        <f t="shared" ref="BB185:BB186" si="443">IF(O$20="CYA",0,O185)</f>
        <v>0</v>
      </c>
      <c r="BC185" s="280">
        <f t="shared" ref="BC185:BC186" si="444">IF(P$20="CYA",0,P185)</f>
        <v>0</v>
      </c>
      <c r="BD185" s="280">
        <f t="shared" ref="BD185:BD186" si="445">IF(Q$20="CYA",0,Q185)</f>
        <v>0</v>
      </c>
      <c r="BE185" s="280">
        <f t="shared" ref="BE185:BE186" si="446">IF(R$20="CYA",0,R185)</f>
        <v>0</v>
      </c>
      <c r="BF185" s="280">
        <f t="shared" ref="BF185:BF186" si="447">IF(S$20="CYA",0,S185)</f>
        <v>0</v>
      </c>
      <c r="BG185" s="280">
        <f t="shared" ref="BG185:BG186" si="448">IF(T$20="CYA",0,T185)</f>
        <v>0</v>
      </c>
      <c r="BH185" s="280">
        <f t="shared" ref="BH185:BH186" si="449">IF(U$20="CYA",0,U185)</f>
        <v>0</v>
      </c>
      <c r="BI185" s="280">
        <f t="shared" ref="BI185:BI186" si="450">IF(V$20="CYA",0,V185)</f>
        <v>0</v>
      </c>
      <c r="BJ185" s="90">
        <f>CB185</f>
        <v>0</v>
      </c>
      <c r="BK185" s="86">
        <v>0</v>
      </c>
    </row>
    <row r="186" spans="1:63" ht="18" thickTop="1" thickBot="1">
      <c r="A186" s="113"/>
      <c r="B186" s="106"/>
      <c r="C186" s="112" t="str">
        <f>C185</f>
        <v>ACCT.FSDetail='E_OthSupplies'</v>
      </c>
      <c r="D186" s="110" t="s">
        <v>411</v>
      </c>
      <c r="E186" s="112"/>
      <c r="F186" s="58"/>
      <c r="G186" s="95" t="s">
        <v>329</v>
      </c>
      <c r="H186" s="95"/>
      <c r="I186" s="95"/>
      <c r="J186" s="67"/>
      <c r="K186" s="96">
        <v>0</v>
      </c>
      <c r="L186" s="96">
        <v>0</v>
      </c>
      <c r="M186" s="96">
        <v>0</v>
      </c>
      <c r="N186" s="96">
        <v>0</v>
      </c>
      <c r="O186" s="96">
        <v>0</v>
      </c>
      <c r="P186" s="96">
        <v>0</v>
      </c>
      <c r="Q186" s="96">
        <v>0</v>
      </c>
      <c r="R186" s="96">
        <v>0</v>
      </c>
      <c r="S186" s="89">
        <f t="shared" si="439"/>
        <v>0</v>
      </c>
      <c r="T186" s="89">
        <f t="shared" si="439"/>
        <v>0</v>
      </c>
      <c r="U186" s="89">
        <f t="shared" si="439"/>
        <v>0</v>
      </c>
      <c r="V186" s="89">
        <f t="shared" si="439"/>
        <v>0</v>
      </c>
      <c r="W186" s="96">
        <f>SUM(K186:V186)</f>
        <v>0</v>
      </c>
      <c r="X186" s="96"/>
      <c r="Y186" s="96"/>
      <c r="Z186" s="96"/>
      <c r="AA186" s="96"/>
      <c r="AB186" s="96"/>
      <c r="AC186" s="96" cm="1">
        <f t="array" ref="AC186">IF(AC$8="",0,_xll.GetData(AC$8,$AQ186))</f>
        <v>0</v>
      </c>
      <c r="AD186" s="96" cm="1">
        <f t="array" ref="AD186">IF(AD$8="",0,_xll.GetData(AD$8,$AQ186))</f>
        <v>0</v>
      </c>
      <c r="AE186" s="96" cm="1">
        <f t="array" ref="AE186">IF(AE$8="",0,_xll.GetData(AE$8,$AQ186))</f>
        <v>0</v>
      </c>
      <c r="AF186" s="96" cm="1">
        <f t="array" ref="AF186">IF(AF$8="",0,_xll.GetData(AF$8,$AQ186))</f>
        <v>0</v>
      </c>
      <c r="AG186" s="96" cm="1">
        <f t="array" ref="AG186">IF(AG$8="",0,_xll.GetData(AG$8,$AQ186))</f>
        <v>0</v>
      </c>
      <c r="AH186" s="96" cm="1">
        <f t="array" ref="AH186">IF(AH$8="",0,_xll.GetData(AH$8,$AQ186))</f>
        <v>0</v>
      </c>
      <c r="AI186" s="96" cm="1">
        <f t="array" ref="AI186">IF(AI$8="",0,_xll.GetData(AI$8,$AQ186))</f>
        <v>0</v>
      </c>
      <c r="AJ186" s="96" cm="1">
        <f t="array" ref="AJ186">IF(AJ$8="",0,_xll.GetData(AJ$8,$AQ186))</f>
        <v>0</v>
      </c>
      <c r="AK186" s="96" cm="1">
        <f t="array" ref="AK186">IF(AK$8="",0,_xll.GetData(AK$8,$AQ186))</f>
        <v>0</v>
      </c>
      <c r="AL186" s="96" cm="1">
        <f t="array" ref="AL186">IF(AL$8="",0,_xll.GetData(AL$8,$AQ186))</f>
        <v>0</v>
      </c>
      <c r="AM186" s="96" cm="1">
        <f t="array" ref="AM186">IF(AM$8="",0,_xll.GetData(AM$8,$AQ186))</f>
        <v>0</v>
      </c>
      <c r="AN186" s="96" cm="1">
        <f t="array" ref="AN186">IF(AN$8="",0,_xll.GetData(AN$8,$AQ186))</f>
        <v>0</v>
      </c>
      <c r="AO186" s="69"/>
      <c r="AP186" s="111">
        <f>AP187</f>
        <v>50</v>
      </c>
      <c r="AQ186" s="111" t="str">
        <f>"Dept="&amp;AU186&amp;" And Acct="&amp;AV186</f>
        <v>Dept=0 And Acct=62100</v>
      </c>
      <c r="AR186" s="167"/>
      <c r="AS186" s="167" t="str">
        <f>IF(OR(AU186=0,AV186=0),"NoSave","[Save]")</f>
        <v>NoSave</v>
      </c>
      <c r="AT186" s="167"/>
      <c r="AU186" s="111">
        <f>AU187</f>
        <v>0</v>
      </c>
      <c r="AV186" s="111">
        <f>AV187</f>
        <v>62100</v>
      </c>
      <c r="AW186" s="111">
        <v>1</v>
      </c>
      <c r="AX186" s="281">
        <f>IF(K$20="CYA",0,K186)</f>
        <v>0</v>
      </c>
      <c r="AY186" s="281">
        <f t="shared" si="440"/>
        <v>0</v>
      </c>
      <c r="AZ186" s="281">
        <f t="shared" si="441"/>
        <v>0</v>
      </c>
      <c r="BA186" s="281">
        <f t="shared" si="442"/>
        <v>0</v>
      </c>
      <c r="BB186" s="281">
        <f t="shared" si="443"/>
        <v>0</v>
      </c>
      <c r="BC186" s="281">
        <f t="shared" si="444"/>
        <v>0</v>
      </c>
      <c r="BD186" s="281">
        <f t="shared" si="445"/>
        <v>0</v>
      </c>
      <c r="BE186" s="281">
        <f t="shared" si="446"/>
        <v>0</v>
      </c>
      <c r="BF186" s="281">
        <f t="shared" si="447"/>
        <v>0</v>
      </c>
      <c r="BG186" s="281">
        <f t="shared" si="448"/>
        <v>0</v>
      </c>
      <c r="BH186" s="281">
        <f t="shared" si="449"/>
        <v>0</v>
      </c>
      <c r="BI186" s="281">
        <f t="shared" si="450"/>
        <v>0</v>
      </c>
      <c r="BJ186" s="89">
        <f>CB186</f>
        <v>0</v>
      </c>
      <c r="BK186" s="96">
        <v>0</v>
      </c>
    </row>
    <row r="187" spans="1:63" ht="17.399999999999999" thickTop="1">
      <c r="A187" s="105"/>
      <c r="B187" s="114" t="str">
        <f>C184</f>
        <v>E_OthSupplies</v>
      </c>
      <c r="C187" s="112" t="s">
        <v>278</v>
      </c>
      <c r="D187" s="110"/>
      <c r="E187" s="112"/>
      <c r="F187" s="74"/>
      <c r="G187" s="100" t="str">
        <f>"   Total "&amp;G184</f>
        <v xml:space="preserve">   Total Other Supplies</v>
      </c>
      <c r="H187" s="100"/>
      <c r="I187" s="100"/>
      <c r="J187" s="116"/>
      <c r="K187" s="116">
        <f>IF(K$20="CYA",K184,K184*(1+K185)+K186)</f>
        <v>611883</v>
      </c>
      <c r="L187" s="116">
        <f>IF(L$20="CYA",L184,L184*(1+L185)+L186)</f>
        <v>768799.85</v>
      </c>
      <c r="M187" s="116">
        <f>IF(M$20="CYA",M184,M184*(1+M185)+M186)</f>
        <v>629196.5</v>
      </c>
      <c r="N187" s="116">
        <f>IF(N$20="CYA",N184,N184*(1+N185)+N186)</f>
        <v>608020.9800000001</v>
      </c>
      <c r="O187" s="116">
        <f>IF(O$20="CYA",O184,O184*(1+O185)+O186)</f>
        <v>712822.49</v>
      </c>
      <c r="P187" s="116">
        <f>IF(P$20="CYA",P184,P184*(1+P185)+P186)</f>
        <v>422487.74342882715</v>
      </c>
      <c r="Q187" s="116">
        <f>IF(Q$20="CYA",Q184,Q184*(1+Q185)+Q186)</f>
        <v>443487.35807489062</v>
      </c>
      <c r="R187" s="116">
        <f>IF(R$20="CYA",R184,R184*(1+R185)+R186)</f>
        <v>447418.35494852089</v>
      </c>
      <c r="S187" s="116">
        <f>IF(S$20="CYA",S184,S184*(1+S185)+S186)</f>
        <v>483290.16415370663</v>
      </c>
      <c r="T187" s="116">
        <f>IF(T$20="CYA",T184,T184*(1+T185)+T186)</f>
        <v>499464.84633717238</v>
      </c>
      <c r="U187" s="116">
        <f>IF(U$20="CYA",U184,U184*(1+U185)+U186)</f>
        <v>526035.75865150639</v>
      </c>
      <c r="V187" s="116">
        <f>IF(V$20="CYA",V184,V184*(1+V185)+V186)</f>
        <v>542523.03627874842</v>
      </c>
      <c r="W187" s="116">
        <f>SUM(K187:V187)</f>
        <v>6695430.0818733722</v>
      </c>
      <c r="X187" s="116"/>
      <c r="Y187" s="116">
        <f>SUM(Y184:Y186)</f>
        <v>6641323.6940162834</v>
      </c>
      <c r="Z187" s="116">
        <f>Y187-W187</f>
        <v>-54106.387857088819</v>
      </c>
      <c r="AA187" s="102">
        <f>IF(Y187=0,0,Z187/Y187)</f>
        <v>-8.1469282856725875E-3</v>
      </c>
      <c r="AB187" s="116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67"/>
      <c r="AP187" s="111">
        <f>ROW(Control!D50)</f>
        <v>50</v>
      </c>
      <c r="AQ187" s="111"/>
      <c r="AR187" s="167"/>
      <c r="AS187" s="167"/>
      <c r="AT187" s="167" t="str">
        <f>IF(OR(AU187=0,AV187=0),"NoSave","[Save]")</f>
        <v>NoSave</v>
      </c>
      <c r="AU187" s="111" cm="1">
        <f t="array" ref="AU187">INDEX(Control!G$1:G$9997,$AP187)</f>
        <v>0</v>
      </c>
      <c r="AV187" s="111" cm="1">
        <f t="array" ref="AV187">INDEX(Control!I$1:I$9997,$AP187)</f>
        <v>62100</v>
      </c>
      <c r="AW187" s="111">
        <v>1</v>
      </c>
      <c r="AX187" s="281">
        <f>IF(K$20="CYA",0,K187-K184)</f>
        <v>0</v>
      </c>
      <c r="AY187" s="281">
        <f t="shared" ref="AY187" si="451">IF(L$20="CYA",0,L187-L184)</f>
        <v>0</v>
      </c>
      <c r="AZ187" s="281">
        <f t="shared" ref="AZ187" si="452">IF(M$20="CYA",0,M187-M184)</f>
        <v>0</v>
      </c>
      <c r="BA187" s="281">
        <f t="shared" ref="BA187" si="453">IF(N$20="CYA",0,N187-N184)</f>
        <v>0</v>
      </c>
      <c r="BB187" s="281">
        <f t="shared" ref="BB187" si="454">IF(O$20="CYA",0,O187-O184)</f>
        <v>0</v>
      </c>
      <c r="BC187" s="281">
        <f t="shared" ref="BC187" si="455">IF(P$20="CYA",0,P187-P184)</f>
        <v>0</v>
      </c>
      <c r="BD187" s="281">
        <f t="shared" ref="BD187" si="456">IF(Q$20="CYA",0,Q187-Q184)</f>
        <v>0</v>
      </c>
      <c r="BE187" s="281">
        <f t="shared" ref="BE187" si="457">IF(R$20="CYA",0,R187-R184)</f>
        <v>0</v>
      </c>
      <c r="BF187" s="281">
        <f t="shared" ref="BF187" si="458">IF(S$20="CYA",0,S187-S184)</f>
        <v>0</v>
      </c>
      <c r="BG187" s="281">
        <f t="shared" ref="BG187" si="459">IF(T$20="CYA",0,T187-T184)</f>
        <v>0</v>
      </c>
      <c r="BH187" s="281">
        <f t="shared" ref="BH187" si="460">IF(U$20="CYA",0,U187-U184)</f>
        <v>0</v>
      </c>
      <c r="BI187" s="281">
        <f t="shared" ref="BI187" si="461">IF(V$20="CYA",0,V187-V184)</f>
        <v>0</v>
      </c>
      <c r="BK187" s="96"/>
    </row>
    <row r="188" spans="1:63" s="55" customFormat="1" ht="16.8">
      <c r="A188" s="105"/>
      <c r="B188" s="106"/>
      <c r="C188" s="112"/>
      <c r="D188" s="110"/>
      <c r="E188" s="112"/>
      <c r="F188" s="74"/>
      <c r="G188" s="100" t="s">
        <v>507</v>
      </c>
      <c r="H188" s="100"/>
      <c r="I188" s="100"/>
      <c r="J188" s="147"/>
      <c r="K188" s="150">
        <f>IF(K$59=0,0,K187/K$59)</f>
        <v>1.0375002881309398E-2</v>
      </c>
      <c r="L188" s="150">
        <f>IF(L$59=0,0,L187/L$59)</f>
        <v>1.2720469344283947E-2</v>
      </c>
      <c r="M188" s="150">
        <f>IF(M$59=0,0,M187/M$59)</f>
        <v>1.0256850311793912E-2</v>
      </c>
      <c r="N188" s="150">
        <f>IF(N$59=0,0,N187/N$59)</f>
        <v>1.0084306825287687E-2</v>
      </c>
      <c r="O188" s="150">
        <f>IF(O$59=0,0,O187/O$59)</f>
        <v>1.1602312680279701E-2</v>
      </c>
      <c r="P188" s="150">
        <f>IF(P$59=0,0,P187/P$59)</f>
        <v>1.0016605000574391E-2</v>
      </c>
      <c r="Q188" s="150">
        <f>IF(Q$59=0,0,Q187/Q$59)</f>
        <v>1.0109039430459058E-2</v>
      </c>
      <c r="R188" s="150">
        <f>IF(R$59=0,0,R187/R$59)</f>
        <v>9.9910698840507545E-3</v>
      </c>
      <c r="S188" s="150">
        <f>IF(S$59=0,0,S187/S$59)</f>
        <v>1.0596742578365081E-2</v>
      </c>
      <c r="T188" s="150">
        <f>IF(T$59=0,0,T187/T$59)</f>
        <v>1.0598747852842962E-2</v>
      </c>
      <c r="U188" s="150">
        <f>IF(U$59=0,0,U187/U$59)</f>
        <v>1.0602364056112324E-2</v>
      </c>
      <c r="V188" s="150">
        <f>IF(V$59=0,0,V187/V$59)</f>
        <v>1.0561779413433718E-2</v>
      </c>
      <c r="W188" s="150">
        <f>IF(W$59=0,0,W187/W$59)</f>
        <v>1.0677916054112103E-2</v>
      </c>
      <c r="X188" s="147"/>
      <c r="Y188" s="150">
        <f>IF(Y$59=0,0,Y187/Y$59)</f>
        <v>1.0758030834997864E-2</v>
      </c>
      <c r="Z188" s="101"/>
      <c r="AA188" s="102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67"/>
      <c r="AP188" s="111"/>
      <c r="AQ188" s="111"/>
      <c r="AR188" s="167"/>
      <c r="AS188" s="167"/>
      <c r="AT188" s="167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1"/>
    </row>
    <row r="189" spans="1:63" ht="16.8">
      <c r="A189" s="105"/>
      <c r="B189" s="106"/>
      <c r="C189" s="112"/>
      <c r="D189" s="110"/>
      <c r="E189" s="112"/>
      <c r="F189" s="74"/>
      <c r="G189" s="95"/>
      <c r="H189" s="95"/>
      <c r="I189" s="95"/>
      <c r="J189" s="67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67"/>
      <c r="AR189" s="167"/>
      <c r="AS189" s="167"/>
      <c r="AT189" s="167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1"/>
    </row>
    <row r="190" spans="1:63" ht="17.399999999999999" thickBot="1">
      <c r="A190" s="105" t="str">
        <f>C190</f>
        <v>E_Depreciation</v>
      </c>
      <c r="B190" s="106"/>
      <c r="C190" s="112" t="s">
        <v>346</v>
      </c>
      <c r="D190" s="110"/>
      <c r="E190" s="112"/>
      <c r="F190" s="74"/>
      <c r="G190" s="95" t="s">
        <v>240</v>
      </c>
      <c r="H190" s="95"/>
      <c r="I190" s="95"/>
      <c r="J190" s="67"/>
      <c r="K190" s="96">
        <v>2345308.1</v>
      </c>
      <c r="L190" s="96">
        <v>2358862.69</v>
      </c>
      <c r="M190" s="96">
        <v>2253490.61</v>
      </c>
      <c r="N190" s="96">
        <v>2358086.7000000002</v>
      </c>
      <c r="O190" s="96">
        <v>2360542.34</v>
      </c>
      <c r="P190" s="96">
        <v>2379582.8712840108</v>
      </c>
      <c r="Q190" s="96">
        <v>2382010.9992840108</v>
      </c>
      <c r="R190" s="96">
        <v>2383125.7497251872</v>
      </c>
      <c r="S190" s="96">
        <v>2381997.4601173443</v>
      </c>
      <c r="T190" s="96">
        <v>2381182.2465879326</v>
      </c>
      <c r="U190" s="96">
        <v>2381997.4601173443</v>
      </c>
      <c r="V190" s="96">
        <v>2381182.2465879326</v>
      </c>
      <c r="W190" s="96">
        <f>SUM(K190:V190)</f>
        <v>28347369.473703764</v>
      </c>
      <c r="X190" s="96"/>
      <c r="Y190" s="96">
        <v>28994283.793963611</v>
      </c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167"/>
      <c r="AS190" s="167"/>
      <c r="AT190" s="167"/>
      <c r="AU190" s="111"/>
      <c r="AV190" s="111"/>
      <c r="AW190" s="111">
        <v>1</v>
      </c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</row>
    <row r="191" spans="1:63" ht="18" thickTop="1" thickBot="1">
      <c r="A191" s="105"/>
      <c r="B191" s="106"/>
      <c r="C191" s="112" t="str">
        <f>"ACCT.FSDetail='"&amp;C190&amp;"'"</f>
        <v>ACCT.FSDetail='E_Depreciation'</v>
      </c>
      <c r="D191" s="110" t="s">
        <v>411</v>
      </c>
      <c r="E191" s="112"/>
      <c r="F191" s="58"/>
      <c r="G191" s="95" t="s">
        <v>328</v>
      </c>
      <c r="H191" s="95"/>
      <c r="I191" s="95"/>
      <c r="J191" s="46"/>
      <c r="K191" s="86">
        <v>0</v>
      </c>
      <c r="L191" s="86">
        <v>0</v>
      </c>
      <c r="M191" s="86">
        <v>0</v>
      </c>
      <c r="N191" s="86">
        <v>0</v>
      </c>
      <c r="O191" s="86">
        <v>0</v>
      </c>
      <c r="P191" s="86">
        <v>0</v>
      </c>
      <c r="Q191" s="86">
        <v>0</v>
      </c>
      <c r="R191" s="86">
        <v>0</v>
      </c>
      <c r="S191" s="90">
        <f t="shared" ref="S191:V192" si="462">AK191</f>
        <v>0</v>
      </c>
      <c r="T191" s="90">
        <f t="shared" si="462"/>
        <v>0</v>
      </c>
      <c r="U191" s="90">
        <f t="shared" si="462"/>
        <v>0</v>
      </c>
      <c r="V191" s="90">
        <f t="shared" si="462"/>
        <v>0</v>
      </c>
      <c r="W191" s="97">
        <f>IF(W193=0,0,1-(SUM(W192,W190)/W193))</f>
        <v>0</v>
      </c>
      <c r="X191" s="97"/>
      <c r="Y191" s="97"/>
      <c r="Z191" s="97"/>
      <c r="AA191" s="97"/>
      <c r="AB191" s="97"/>
      <c r="AC191" s="97" cm="1">
        <f t="array" ref="AC191">IF(AC$7="",0,_xll.GetData(AC$7,$AQ191))</f>
        <v>0</v>
      </c>
      <c r="AD191" s="97" cm="1">
        <f t="array" ref="AD191">IF(AD$7="",0,_xll.GetData(AD$7,$AQ191))</f>
        <v>0</v>
      </c>
      <c r="AE191" s="97" cm="1">
        <f t="array" ref="AE191">IF(AE$7="",0,_xll.GetData(AE$7,$AQ191))</f>
        <v>0</v>
      </c>
      <c r="AF191" s="97" cm="1">
        <f t="array" ref="AF191">IF(AF$7="",0,_xll.GetData(AF$7,$AQ191))</f>
        <v>0</v>
      </c>
      <c r="AG191" s="97" cm="1">
        <f t="array" ref="AG191">IF(AG$7="",0,_xll.GetData(AG$7,$AQ191))</f>
        <v>0</v>
      </c>
      <c r="AH191" s="97" cm="1">
        <f t="array" ref="AH191">IF(AH$7="",0,_xll.GetData(AH$7,$AQ191))</f>
        <v>0</v>
      </c>
      <c r="AI191" s="97" cm="1">
        <f t="array" ref="AI191">IF(AI$7="",0,_xll.GetData(AI$7,$AQ191))</f>
        <v>0</v>
      </c>
      <c r="AJ191" s="97" cm="1">
        <f t="array" ref="AJ191">IF(AJ$7="",0,_xll.GetData(AJ$7,$AQ191))</f>
        <v>0</v>
      </c>
      <c r="AK191" s="97" cm="1">
        <f t="array" ref="AK191">IF(AK$7="",0,_xll.GetData(AK$7,$AQ191))</f>
        <v>0</v>
      </c>
      <c r="AL191" s="97" cm="1">
        <f t="array" ref="AL191">IF(AL$7="",0,_xll.GetData(AL$7,$AQ191))</f>
        <v>0</v>
      </c>
      <c r="AM191" s="97" cm="1">
        <f t="array" ref="AM191">IF(AM$7="",0,_xll.GetData(AM$7,$AQ191))</f>
        <v>0</v>
      </c>
      <c r="AN191" s="97" cm="1">
        <f t="array" ref="AN191">IF(AN$7="",0,_xll.GetData(AN$7,$AQ191))</f>
        <v>0</v>
      </c>
      <c r="AO191" s="96"/>
      <c r="AP191" s="111">
        <f>AP193</f>
        <v>51</v>
      </c>
      <c r="AQ191" s="111" t="str">
        <f>"Dept="&amp;AU191&amp;" And Acct="&amp;AV191</f>
        <v>Dept=0 And Acct=71100</v>
      </c>
      <c r="AR191" s="167" t="str">
        <f>IF(OR(AU191=0,AV191=0),"NoSave","[Save]")</f>
        <v>NoSave</v>
      </c>
      <c r="AS191" s="167"/>
      <c r="AT191" s="167"/>
      <c r="AU191" s="111">
        <f>AU193</f>
        <v>0</v>
      </c>
      <c r="AV191" s="111">
        <f>AV193</f>
        <v>71100</v>
      </c>
      <c r="AW191" s="111">
        <v>1</v>
      </c>
      <c r="AX191" s="280">
        <f>IF(K$20="CYA",0,K191)</f>
        <v>0</v>
      </c>
      <c r="AY191" s="280">
        <f t="shared" ref="AY191:AY192" si="463">IF(L$20="CYA",0,L191)</f>
        <v>0</v>
      </c>
      <c r="AZ191" s="280">
        <f t="shared" ref="AZ191:AZ192" si="464">IF(M$20="CYA",0,M191)</f>
        <v>0</v>
      </c>
      <c r="BA191" s="280">
        <f t="shared" ref="BA191:BA192" si="465">IF(N$20="CYA",0,N191)</f>
        <v>0</v>
      </c>
      <c r="BB191" s="280">
        <f t="shared" ref="BB191:BB192" si="466">IF(O$20="CYA",0,O191)</f>
        <v>0</v>
      </c>
      <c r="BC191" s="280">
        <f t="shared" ref="BC191:BC192" si="467">IF(P$20="CYA",0,P191)</f>
        <v>0</v>
      </c>
      <c r="BD191" s="280">
        <f t="shared" ref="BD191:BD192" si="468">IF(Q$20="CYA",0,Q191)</f>
        <v>0</v>
      </c>
      <c r="BE191" s="280">
        <f t="shared" ref="BE191:BE192" si="469">IF(R$20="CYA",0,R191)</f>
        <v>0</v>
      </c>
      <c r="BF191" s="280">
        <f t="shared" ref="BF191:BF192" si="470">IF(S$20="CYA",0,S191)</f>
        <v>0</v>
      </c>
      <c r="BG191" s="280">
        <f t="shared" ref="BG191:BG192" si="471">IF(T$20="CYA",0,T191)</f>
        <v>0</v>
      </c>
      <c r="BH191" s="280">
        <f t="shared" ref="BH191:BH192" si="472">IF(U$20="CYA",0,U191)</f>
        <v>0</v>
      </c>
      <c r="BI191" s="280">
        <f t="shared" ref="BI191:BI192" si="473">IF(V$20="CYA",0,V191)</f>
        <v>0</v>
      </c>
      <c r="BJ191" s="90">
        <f>CB191</f>
        <v>0</v>
      </c>
      <c r="BK191" s="86">
        <v>0</v>
      </c>
    </row>
    <row r="192" spans="1:63" ht="18" thickTop="1" thickBot="1">
      <c r="A192" s="113"/>
      <c r="B192" s="106"/>
      <c r="C192" s="112" t="str">
        <f>C191</f>
        <v>ACCT.FSDetail='E_Depreciation'</v>
      </c>
      <c r="D192" s="110" t="s">
        <v>411</v>
      </c>
      <c r="E192" s="112"/>
      <c r="F192" s="58"/>
      <c r="G192" s="95" t="s">
        <v>329</v>
      </c>
      <c r="H192" s="95"/>
      <c r="I192" s="95"/>
      <c r="J192" s="67"/>
      <c r="K192" s="96">
        <v>0</v>
      </c>
      <c r="L192" s="96">
        <v>0</v>
      </c>
      <c r="M192" s="96">
        <v>0</v>
      </c>
      <c r="N192" s="96">
        <v>0</v>
      </c>
      <c r="O192" s="96">
        <v>0</v>
      </c>
      <c r="P192" s="96">
        <v>0</v>
      </c>
      <c r="Q192" s="96">
        <v>0</v>
      </c>
      <c r="R192" s="96">
        <v>0</v>
      </c>
      <c r="S192" s="89">
        <f t="shared" si="462"/>
        <v>0</v>
      </c>
      <c r="T192" s="89">
        <f t="shared" si="462"/>
        <v>0</v>
      </c>
      <c r="U192" s="89">
        <f t="shared" si="462"/>
        <v>0</v>
      </c>
      <c r="V192" s="89">
        <f t="shared" si="462"/>
        <v>0</v>
      </c>
      <c r="W192" s="96">
        <f>SUM(K192:V192)</f>
        <v>0</v>
      </c>
      <c r="X192" s="96"/>
      <c r="Y192" s="96"/>
      <c r="Z192" s="96"/>
      <c r="AA192" s="96"/>
      <c r="AB192" s="96"/>
      <c r="AC192" s="96" cm="1">
        <f t="array" ref="AC192">IF(AC$8="",0,_xll.GetData(AC$8,$AQ192))</f>
        <v>0</v>
      </c>
      <c r="AD192" s="96" cm="1">
        <f t="array" ref="AD192">IF(AD$8="",0,_xll.GetData(AD$8,$AQ192))</f>
        <v>0</v>
      </c>
      <c r="AE192" s="96" cm="1">
        <f t="array" ref="AE192">IF(AE$8="",0,_xll.GetData(AE$8,$AQ192))</f>
        <v>0</v>
      </c>
      <c r="AF192" s="96" cm="1">
        <f t="array" ref="AF192">IF(AF$8="",0,_xll.GetData(AF$8,$AQ192))</f>
        <v>0</v>
      </c>
      <c r="AG192" s="96" cm="1">
        <f t="array" ref="AG192">IF(AG$8="",0,_xll.GetData(AG$8,$AQ192))</f>
        <v>0</v>
      </c>
      <c r="AH192" s="96" cm="1">
        <f t="array" ref="AH192">IF(AH$8="",0,_xll.GetData(AH$8,$AQ192))</f>
        <v>0</v>
      </c>
      <c r="AI192" s="96" cm="1">
        <f t="array" ref="AI192">IF(AI$8="",0,_xll.GetData(AI$8,$AQ192))</f>
        <v>0</v>
      </c>
      <c r="AJ192" s="96" cm="1">
        <f t="array" ref="AJ192">IF(AJ$8="",0,_xll.GetData(AJ$8,$AQ192))</f>
        <v>0</v>
      </c>
      <c r="AK192" s="96" cm="1">
        <f t="array" ref="AK192">IF(AK$8="",0,_xll.GetData(AK$8,$AQ192))</f>
        <v>0</v>
      </c>
      <c r="AL192" s="96" cm="1">
        <f t="array" ref="AL192">IF(AL$8="",0,_xll.GetData(AL$8,$AQ192))</f>
        <v>0</v>
      </c>
      <c r="AM192" s="96" cm="1">
        <f t="array" ref="AM192">IF(AM$8="",0,_xll.GetData(AM$8,$AQ192))</f>
        <v>0</v>
      </c>
      <c r="AN192" s="96" cm="1">
        <f t="array" ref="AN192">IF(AN$8="",0,_xll.GetData(AN$8,$AQ192))</f>
        <v>0</v>
      </c>
      <c r="AO192" s="96"/>
      <c r="AP192" s="111">
        <f>AP193</f>
        <v>51</v>
      </c>
      <c r="AQ192" s="111" t="str">
        <f>"Dept="&amp;AU192&amp;" And Acct="&amp;AV192</f>
        <v>Dept=0 And Acct=71100</v>
      </c>
      <c r="AR192" s="167"/>
      <c r="AS192" s="167" t="str">
        <f>IF(OR(AU192=0,AV192=0),"NoSave","[Save]")</f>
        <v>NoSave</v>
      </c>
      <c r="AT192" s="167"/>
      <c r="AU192" s="111">
        <f>AU193</f>
        <v>0</v>
      </c>
      <c r="AV192" s="111">
        <f>AV193</f>
        <v>71100</v>
      </c>
      <c r="AW192" s="111">
        <v>1</v>
      </c>
      <c r="AX192" s="281">
        <f>IF(K$20="CYA",0,K192)</f>
        <v>0</v>
      </c>
      <c r="AY192" s="281">
        <f t="shared" si="463"/>
        <v>0</v>
      </c>
      <c r="AZ192" s="281">
        <f t="shared" si="464"/>
        <v>0</v>
      </c>
      <c r="BA192" s="281">
        <f t="shared" si="465"/>
        <v>0</v>
      </c>
      <c r="BB192" s="281">
        <f t="shared" si="466"/>
        <v>0</v>
      </c>
      <c r="BC192" s="281">
        <f t="shared" si="467"/>
        <v>0</v>
      </c>
      <c r="BD192" s="281">
        <f t="shared" si="468"/>
        <v>0</v>
      </c>
      <c r="BE192" s="281">
        <f t="shared" si="469"/>
        <v>0</v>
      </c>
      <c r="BF192" s="281">
        <f t="shared" si="470"/>
        <v>0</v>
      </c>
      <c r="BG192" s="281">
        <f t="shared" si="471"/>
        <v>0</v>
      </c>
      <c r="BH192" s="281">
        <f t="shared" si="472"/>
        <v>0</v>
      </c>
      <c r="BI192" s="281">
        <f t="shared" si="473"/>
        <v>0</v>
      </c>
      <c r="BJ192" s="89">
        <f>CB192</f>
        <v>0</v>
      </c>
      <c r="BK192" s="96">
        <v>0</v>
      </c>
    </row>
    <row r="193" spans="1:63" ht="17.399999999999999" thickTop="1">
      <c r="A193" s="105"/>
      <c r="B193" s="114" t="str">
        <f>C190</f>
        <v>E_Depreciation</v>
      </c>
      <c r="C193" s="112" t="s">
        <v>278</v>
      </c>
      <c r="D193" s="110"/>
      <c r="E193" s="112"/>
      <c r="F193" s="74"/>
      <c r="G193" s="100" t="str">
        <f>"   Total "&amp;G190</f>
        <v xml:space="preserve">   Total Depreciation &amp; Amortization</v>
      </c>
      <c r="H193" s="100"/>
      <c r="I193" s="100"/>
      <c r="J193" s="116"/>
      <c r="K193" s="116">
        <f>IF(K$20="CYA",K190,K190*(1+K191)+K192)</f>
        <v>2345308.1</v>
      </c>
      <c r="L193" s="116">
        <f>IF(L$20="CYA",L190,L190*(1+L191)+L192)</f>
        <v>2358862.69</v>
      </c>
      <c r="M193" s="116">
        <f>IF(M$20="CYA",M190,M190*(1+M191)+M192)</f>
        <v>2253490.61</v>
      </c>
      <c r="N193" s="116">
        <f>IF(N$20="CYA",N190,N190*(1+N191)+N192)</f>
        <v>2358086.7000000002</v>
      </c>
      <c r="O193" s="116">
        <f>IF(O$20="CYA",O190,O190*(1+O191)+O192)</f>
        <v>2360542.34</v>
      </c>
      <c r="P193" s="116">
        <f>IF(P$20="CYA",P190,P190*(1+P191)+P192)</f>
        <v>2379582.8712840108</v>
      </c>
      <c r="Q193" s="116">
        <f>IF(Q$20="CYA",Q190,Q190*(1+Q191)+Q192)</f>
        <v>2382010.9992840108</v>
      </c>
      <c r="R193" s="116">
        <f>IF(R$20="CYA",R190,R190*(1+R191)+R192)</f>
        <v>2383125.7497251872</v>
      </c>
      <c r="S193" s="116">
        <f>IF(S$20="CYA",S190,S190*(1+S191)+S192)</f>
        <v>2381997.4601173443</v>
      </c>
      <c r="T193" s="116">
        <f>IF(T$20="CYA",T190,T190*(1+T191)+T192)</f>
        <v>2381182.2465879326</v>
      </c>
      <c r="U193" s="116">
        <f>IF(U$20="CYA",U190,U190*(1+U191)+U192)</f>
        <v>2381997.4601173443</v>
      </c>
      <c r="V193" s="116">
        <f>IF(V$20="CYA",V190,V190*(1+V191)+V192)</f>
        <v>2381182.2465879326</v>
      </c>
      <c r="W193" s="116">
        <f>SUM(K193:V193)</f>
        <v>28347369.473703764</v>
      </c>
      <c r="X193" s="116"/>
      <c r="Y193" s="116">
        <f>SUM(Y190:Y192)</f>
        <v>28994283.793963611</v>
      </c>
      <c r="Z193" s="116">
        <f>Y193-W193</f>
        <v>646914.32025984675</v>
      </c>
      <c r="AA193" s="102">
        <f>IF(Y193=0,0,Z193/Y193)</f>
        <v>2.2311788242706288E-2</v>
      </c>
      <c r="AB193" s="116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97"/>
      <c r="AP193" s="111">
        <f>ROW(Control!D51)</f>
        <v>51</v>
      </c>
      <c r="AQ193" s="111"/>
      <c r="AR193" s="167"/>
      <c r="AS193" s="167"/>
      <c r="AT193" s="167" t="str">
        <f>IF(OR(AU193=0,AV193=0),"NoSave","[Save]")</f>
        <v>NoSave</v>
      </c>
      <c r="AU193" s="111" cm="1">
        <f t="array" ref="AU193">INDEX(Control!G$1:G$9997,$AP193)</f>
        <v>0</v>
      </c>
      <c r="AV193" s="111" cm="1">
        <f t="array" ref="AV193">INDEX(Control!I$1:I$9997,$AP193)</f>
        <v>71100</v>
      </c>
      <c r="AW193" s="111">
        <v>1</v>
      </c>
      <c r="AX193" s="281">
        <f>IF(K$20="CYA",0,K193-K190)</f>
        <v>0</v>
      </c>
      <c r="AY193" s="281">
        <f t="shared" ref="AY193" si="474">IF(L$20="CYA",0,L193-L190)</f>
        <v>0</v>
      </c>
      <c r="AZ193" s="281">
        <f t="shared" ref="AZ193" si="475">IF(M$20="CYA",0,M193-M190)</f>
        <v>0</v>
      </c>
      <c r="BA193" s="281">
        <f t="shared" ref="BA193" si="476">IF(N$20="CYA",0,N193-N190)</f>
        <v>0</v>
      </c>
      <c r="BB193" s="281">
        <f t="shared" ref="BB193" si="477">IF(O$20="CYA",0,O193-O190)</f>
        <v>0</v>
      </c>
      <c r="BC193" s="281">
        <f t="shared" ref="BC193" si="478">IF(P$20="CYA",0,P193-P190)</f>
        <v>0</v>
      </c>
      <c r="BD193" s="281">
        <f t="shared" ref="BD193" si="479">IF(Q$20="CYA",0,Q193-Q190)</f>
        <v>0</v>
      </c>
      <c r="BE193" s="281">
        <f t="shared" ref="BE193" si="480">IF(R$20="CYA",0,R193-R190)</f>
        <v>0</v>
      </c>
      <c r="BF193" s="281">
        <f t="shared" ref="BF193" si="481">IF(S$20="CYA",0,S193-S190)</f>
        <v>0</v>
      </c>
      <c r="BG193" s="281">
        <f t="shared" ref="BG193" si="482">IF(T$20="CYA",0,T193-T190)</f>
        <v>0</v>
      </c>
      <c r="BH193" s="281">
        <f t="shared" ref="BH193" si="483">IF(U$20="CYA",0,U193-U190)</f>
        <v>0</v>
      </c>
      <c r="BI193" s="281">
        <f t="shared" ref="BI193" si="484">IF(V$20="CYA",0,V193-V190)</f>
        <v>0</v>
      </c>
    </row>
    <row r="194" spans="1:63" ht="16.8">
      <c r="A194" s="105"/>
      <c r="B194" s="106"/>
      <c r="C194" s="112"/>
      <c r="D194" s="110"/>
      <c r="E194" s="112"/>
      <c r="F194" s="74"/>
      <c r="G194" s="95"/>
      <c r="H194" s="95"/>
      <c r="I194" s="95"/>
      <c r="J194" s="67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167"/>
      <c r="AS194" s="167"/>
      <c r="AT194" s="167"/>
      <c r="AU194" s="111"/>
      <c r="AV194" s="111"/>
      <c r="AW194" s="111"/>
      <c r="AX194" s="111"/>
      <c r="AY194" s="111"/>
      <c r="AZ194" s="111"/>
      <c r="BA194" s="111"/>
      <c r="BB194" s="111"/>
      <c r="BC194" s="111"/>
      <c r="BD194" s="111"/>
      <c r="BE194" s="111"/>
      <c r="BF194" s="111"/>
      <c r="BG194" s="111"/>
      <c r="BH194" s="111"/>
      <c r="BI194" s="111"/>
    </row>
    <row r="195" spans="1:63" ht="17.399999999999999" thickBot="1">
      <c r="A195" s="105" t="str">
        <f>C195</f>
        <v>E_RentLease</v>
      </c>
      <c r="B195" s="106"/>
      <c r="C195" s="112" t="s">
        <v>347</v>
      </c>
      <c r="D195" s="110"/>
      <c r="E195" s="112"/>
      <c r="F195" s="74"/>
      <c r="G195" s="95" t="s">
        <v>241</v>
      </c>
      <c r="H195" s="95"/>
      <c r="I195" s="95"/>
      <c r="J195" s="67"/>
      <c r="K195" s="96">
        <v>917201.3600000001</v>
      </c>
      <c r="L195" s="96">
        <v>917024.2</v>
      </c>
      <c r="M195" s="96">
        <v>941195.33</v>
      </c>
      <c r="N195" s="96">
        <v>958132.54999999993</v>
      </c>
      <c r="O195" s="96">
        <v>974872.74</v>
      </c>
      <c r="P195" s="96">
        <v>953344.7240522881</v>
      </c>
      <c r="Q195" s="96">
        <v>953344.7240522881</v>
      </c>
      <c r="R195" s="96">
        <v>895047.28379084985</v>
      </c>
      <c r="S195" s="96">
        <v>954160.04208507494</v>
      </c>
      <c r="T195" s="96">
        <v>923380.68588878145</v>
      </c>
      <c r="U195" s="96">
        <v>954160.04208507494</v>
      </c>
      <c r="V195" s="96">
        <v>923380.68588878145</v>
      </c>
      <c r="W195" s="96">
        <f>SUM(K195:V195)</f>
        <v>11265244.36784314</v>
      </c>
      <c r="X195" s="96"/>
      <c r="Y195" s="96">
        <v>11013601.49895604</v>
      </c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R195" s="167"/>
      <c r="AS195" s="167"/>
      <c r="AT195" s="167"/>
      <c r="AU195" s="111"/>
      <c r="AV195" s="111"/>
      <c r="AW195" s="111">
        <v>1</v>
      </c>
      <c r="AX195" s="111"/>
      <c r="AY195" s="111"/>
      <c r="AZ195" s="111"/>
      <c r="BA195" s="111"/>
      <c r="BB195" s="111"/>
      <c r="BC195" s="111"/>
      <c r="BD195" s="111"/>
      <c r="BE195" s="111"/>
      <c r="BF195" s="111"/>
      <c r="BG195" s="111"/>
      <c r="BH195" s="111"/>
      <c r="BI195" s="111"/>
    </row>
    <row r="196" spans="1:63" ht="18" thickTop="1" thickBot="1">
      <c r="A196" s="105"/>
      <c r="B196" s="106"/>
      <c r="C196" s="112" t="str">
        <f>"ACCT.FSDetail='"&amp;C195&amp;"'"</f>
        <v>ACCT.FSDetail='E_RentLease'</v>
      </c>
      <c r="D196" s="110" t="s">
        <v>411</v>
      </c>
      <c r="E196" s="112"/>
      <c r="F196" s="58"/>
      <c r="G196" s="95" t="s">
        <v>328</v>
      </c>
      <c r="H196" s="95"/>
      <c r="I196" s="95"/>
      <c r="J196" s="46"/>
      <c r="K196" s="86">
        <v>0</v>
      </c>
      <c r="L196" s="86">
        <v>0</v>
      </c>
      <c r="M196" s="86">
        <v>0</v>
      </c>
      <c r="N196" s="86">
        <v>0</v>
      </c>
      <c r="O196" s="86">
        <v>0</v>
      </c>
      <c r="P196" s="86">
        <v>0</v>
      </c>
      <c r="Q196" s="86">
        <v>0</v>
      </c>
      <c r="R196" s="86">
        <v>0</v>
      </c>
      <c r="S196" s="90">
        <f t="shared" ref="S196:V197" si="485">AK196</f>
        <v>0</v>
      </c>
      <c r="T196" s="90">
        <f t="shared" si="485"/>
        <v>0</v>
      </c>
      <c r="U196" s="90">
        <f t="shared" si="485"/>
        <v>0</v>
      </c>
      <c r="V196" s="90">
        <f t="shared" si="485"/>
        <v>0</v>
      </c>
      <c r="W196" s="97">
        <f>IF(W198=0,0,1-(SUM(W197,W195)/W198))</f>
        <v>0</v>
      </c>
      <c r="X196" s="97"/>
      <c r="Y196" s="97"/>
      <c r="Z196" s="97"/>
      <c r="AA196" s="97"/>
      <c r="AB196" s="97"/>
      <c r="AC196" s="97" cm="1">
        <f t="array" ref="AC196">IF(AC$7="",0,_xll.GetData(AC$7,$AQ196))</f>
        <v>0</v>
      </c>
      <c r="AD196" s="97" cm="1">
        <f t="array" ref="AD196">IF(AD$7="",0,_xll.GetData(AD$7,$AQ196))</f>
        <v>0</v>
      </c>
      <c r="AE196" s="97" cm="1">
        <f t="array" ref="AE196">IF(AE$7="",0,_xll.GetData(AE$7,$AQ196))</f>
        <v>0</v>
      </c>
      <c r="AF196" s="97" cm="1">
        <f t="array" ref="AF196">IF(AF$7="",0,_xll.GetData(AF$7,$AQ196))</f>
        <v>0</v>
      </c>
      <c r="AG196" s="97" cm="1">
        <f t="array" ref="AG196">IF(AG$7="",0,_xll.GetData(AG$7,$AQ196))</f>
        <v>0</v>
      </c>
      <c r="AH196" s="97" cm="1">
        <f t="array" ref="AH196">IF(AH$7="",0,_xll.GetData(AH$7,$AQ196))</f>
        <v>0</v>
      </c>
      <c r="AI196" s="97" cm="1">
        <f t="array" ref="AI196">IF(AI$7="",0,_xll.GetData(AI$7,$AQ196))</f>
        <v>0</v>
      </c>
      <c r="AJ196" s="97" cm="1">
        <f t="array" ref="AJ196">IF(AJ$7="",0,_xll.GetData(AJ$7,$AQ196))</f>
        <v>0</v>
      </c>
      <c r="AK196" s="97" cm="1">
        <f t="array" ref="AK196">IF(AK$7="",0,_xll.GetData(AK$7,$AQ196))</f>
        <v>0</v>
      </c>
      <c r="AL196" s="97" cm="1">
        <f t="array" ref="AL196">IF(AL$7="",0,_xll.GetData(AL$7,$AQ196))</f>
        <v>0</v>
      </c>
      <c r="AM196" s="97" cm="1">
        <f t="array" ref="AM196">IF(AM$7="",0,_xll.GetData(AM$7,$AQ196))</f>
        <v>0</v>
      </c>
      <c r="AN196" s="97" cm="1">
        <f t="array" ref="AN196">IF(AN$7="",0,_xll.GetData(AN$7,$AQ196))</f>
        <v>0</v>
      </c>
      <c r="AO196" s="46"/>
      <c r="AP196" s="111">
        <f>AP198</f>
        <v>52</v>
      </c>
      <c r="AQ196" s="111" t="str">
        <f>"Dept="&amp;AU196&amp;" And Acct="&amp;AV196</f>
        <v>Dept=0 And Acct=65100</v>
      </c>
      <c r="AR196" s="167" t="str">
        <f>IF(OR(AU196=0,AV196=0),"NoSave","[Save]")</f>
        <v>NoSave</v>
      </c>
      <c r="AS196" s="167"/>
      <c r="AT196" s="167"/>
      <c r="AU196" s="111">
        <f>AU198</f>
        <v>0</v>
      </c>
      <c r="AV196" s="111">
        <f>AV198</f>
        <v>65100</v>
      </c>
      <c r="AW196" s="111">
        <v>1</v>
      </c>
      <c r="AX196" s="280">
        <f>IF(K$20="CYA",0,K196)</f>
        <v>0</v>
      </c>
      <c r="AY196" s="280">
        <f t="shared" ref="AY196:AY197" si="486">IF(L$20="CYA",0,L196)</f>
        <v>0</v>
      </c>
      <c r="AZ196" s="280">
        <f t="shared" ref="AZ196:AZ197" si="487">IF(M$20="CYA",0,M196)</f>
        <v>0</v>
      </c>
      <c r="BA196" s="280">
        <f t="shared" ref="BA196:BA197" si="488">IF(N$20="CYA",0,N196)</f>
        <v>0</v>
      </c>
      <c r="BB196" s="280">
        <f t="shared" ref="BB196:BB197" si="489">IF(O$20="CYA",0,O196)</f>
        <v>0</v>
      </c>
      <c r="BC196" s="280">
        <f t="shared" ref="BC196:BC197" si="490">IF(P$20="CYA",0,P196)</f>
        <v>0</v>
      </c>
      <c r="BD196" s="280">
        <f t="shared" ref="BD196:BD197" si="491">IF(Q$20="CYA",0,Q196)</f>
        <v>0</v>
      </c>
      <c r="BE196" s="280">
        <f t="shared" ref="BE196:BE197" si="492">IF(R$20="CYA",0,R196)</f>
        <v>0</v>
      </c>
      <c r="BF196" s="280">
        <f t="shared" ref="BF196:BF197" si="493">IF(S$20="CYA",0,S196)</f>
        <v>0</v>
      </c>
      <c r="BG196" s="280">
        <f t="shared" ref="BG196:BG197" si="494">IF(T$20="CYA",0,T196)</f>
        <v>0</v>
      </c>
      <c r="BH196" s="280">
        <f t="shared" ref="BH196:BH197" si="495">IF(U$20="CYA",0,U196)</f>
        <v>0</v>
      </c>
      <c r="BI196" s="280">
        <f t="shared" ref="BI196:BI197" si="496">IF(V$20="CYA",0,V196)</f>
        <v>0</v>
      </c>
      <c r="BJ196" s="90">
        <f>CB196</f>
        <v>0</v>
      </c>
      <c r="BK196" s="86">
        <v>0</v>
      </c>
    </row>
    <row r="197" spans="1:63" ht="18" thickTop="1" thickBot="1">
      <c r="A197" s="113"/>
      <c r="B197" s="106"/>
      <c r="C197" s="112" t="str">
        <f>C196</f>
        <v>ACCT.FSDetail='E_RentLease'</v>
      </c>
      <c r="D197" s="110" t="s">
        <v>411</v>
      </c>
      <c r="E197" s="112"/>
      <c r="F197" s="58"/>
      <c r="G197" s="95" t="s">
        <v>329</v>
      </c>
      <c r="H197" s="95"/>
      <c r="I197" s="95"/>
      <c r="J197" s="67"/>
      <c r="K197" s="96">
        <v>0</v>
      </c>
      <c r="L197" s="96">
        <v>0</v>
      </c>
      <c r="M197" s="96">
        <v>0</v>
      </c>
      <c r="N197" s="96">
        <v>0</v>
      </c>
      <c r="O197" s="96">
        <v>0</v>
      </c>
      <c r="P197" s="96">
        <v>0</v>
      </c>
      <c r="Q197" s="96">
        <v>0</v>
      </c>
      <c r="R197" s="96">
        <v>0</v>
      </c>
      <c r="S197" s="89">
        <f t="shared" si="485"/>
        <v>0</v>
      </c>
      <c r="T197" s="89">
        <f t="shared" si="485"/>
        <v>0</v>
      </c>
      <c r="U197" s="89">
        <f t="shared" si="485"/>
        <v>0</v>
      </c>
      <c r="V197" s="89">
        <f t="shared" si="485"/>
        <v>0</v>
      </c>
      <c r="W197" s="96">
        <f>SUM(K197:V197)</f>
        <v>0</v>
      </c>
      <c r="X197" s="96"/>
      <c r="Y197" s="96"/>
      <c r="Z197" s="96"/>
      <c r="AA197" s="96"/>
      <c r="AB197" s="96"/>
      <c r="AC197" s="96" cm="1">
        <f t="array" ref="AC197">IF(AC$8="",0,_xll.GetData(AC$8,$AQ197))</f>
        <v>0</v>
      </c>
      <c r="AD197" s="96" cm="1">
        <f t="array" ref="AD197">IF(AD$8="",0,_xll.GetData(AD$8,$AQ197))</f>
        <v>0</v>
      </c>
      <c r="AE197" s="96" cm="1">
        <f t="array" ref="AE197">IF(AE$8="",0,_xll.GetData(AE$8,$AQ197))</f>
        <v>0</v>
      </c>
      <c r="AF197" s="96" cm="1">
        <f t="array" ref="AF197">IF(AF$8="",0,_xll.GetData(AF$8,$AQ197))</f>
        <v>0</v>
      </c>
      <c r="AG197" s="96" cm="1">
        <f t="array" ref="AG197">IF(AG$8="",0,_xll.GetData(AG$8,$AQ197))</f>
        <v>0</v>
      </c>
      <c r="AH197" s="96" cm="1">
        <f t="array" ref="AH197">IF(AH$8="",0,_xll.GetData(AH$8,$AQ197))</f>
        <v>0</v>
      </c>
      <c r="AI197" s="96" cm="1">
        <f t="array" ref="AI197">IF(AI$8="",0,_xll.GetData(AI$8,$AQ197))</f>
        <v>0</v>
      </c>
      <c r="AJ197" s="96" cm="1">
        <f t="array" ref="AJ197">IF(AJ$8="",0,_xll.GetData(AJ$8,$AQ197))</f>
        <v>0</v>
      </c>
      <c r="AK197" s="96" cm="1">
        <f t="array" ref="AK197">IF(AK$8="",0,_xll.GetData(AK$8,$AQ197))</f>
        <v>0</v>
      </c>
      <c r="AL197" s="96" cm="1">
        <f t="array" ref="AL197">IF(AL$8="",0,_xll.GetData(AL$8,$AQ197))</f>
        <v>0</v>
      </c>
      <c r="AM197" s="96" cm="1">
        <f t="array" ref="AM197">IF(AM$8="",0,_xll.GetData(AM$8,$AQ197))</f>
        <v>0</v>
      </c>
      <c r="AN197" s="96" cm="1">
        <f t="array" ref="AN197">IF(AN$8="",0,_xll.GetData(AN$8,$AQ197))</f>
        <v>0</v>
      </c>
      <c r="AO197" s="69"/>
      <c r="AP197" s="111">
        <f>AP198</f>
        <v>52</v>
      </c>
      <c r="AQ197" s="111" t="str">
        <f>"Dept="&amp;AU197&amp;" And Acct="&amp;AV197</f>
        <v>Dept=0 And Acct=65100</v>
      </c>
      <c r="AR197" s="167"/>
      <c r="AS197" s="167" t="str">
        <f>IF(OR(AU197=0,AV197=0),"NoSave","[Save]")</f>
        <v>NoSave</v>
      </c>
      <c r="AT197" s="167"/>
      <c r="AU197" s="111">
        <f>AU198</f>
        <v>0</v>
      </c>
      <c r="AV197" s="111">
        <f>AV198</f>
        <v>65100</v>
      </c>
      <c r="AW197" s="111">
        <v>1</v>
      </c>
      <c r="AX197" s="281">
        <f>IF(K$20="CYA",0,K197)</f>
        <v>0</v>
      </c>
      <c r="AY197" s="281">
        <f t="shared" si="486"/>
        <v>0</v>
      </c>
      <c r="AZ197" s="281">
        <f t="shared" si="487"/>
        <v>0</v>
      </c>
      <c r="BA197" s="281">
        <f t="shared" si="488"/>
        <v>0</v>
      </c>
      <c r="BB197" s="281">
        <f t="shared" si="489"/>
        <v>0</v>
      </c>
      <c r="BC197" s="281">
        <f t="shared" si="490"/>
        <v>0</v>
      </c>
      <c r="BD197" s="281">
        <f t="shared" si="491"/>
        <v>0</v>
      </c>
      <c r="BE197" s="281">
        <f t="shared" si="492"/>
        <v>0</v>
      </c>
      <c r="BF197" s="281">
        <f t="shared" si="493"/>
        <v>0</v>
      </c>
      <c r="BG197" s="281">
        <f t="shared" si="494"/>
        <v>0</v>
      </c>
      <c r="BH197" s="281">
        <f t="shared" si="495"/>
        <v>0</v>
      </c>
      <c r="BI197" s="281">
        <f t="shared" si="496"/>
        <v>0</v>
      </c>
      <c r="BJ197" s="89">
        <f>CB197</f>
        <v>0</v>
      </c>
      <c r="BK197" s="96">
        <v>0</v>
      </c>
    </row>
    <row r="198" spans="1:63" ht="17.399999999999999" thickTop="1">
      <c r="A198" s="105"/>
      <c r="B198" s="114" t="str">
        <f>C195</f>
        <v>E_RentLease</v>
      </c>
      <c r="C198" s="112" t="s">
        <v>278</v>
      </c>
      <c r="D198" s="110"/>
      <c r="E198" s="112"/>
      <c r="F198" s="74"/>
      <c r="G198" s="100" t="str">
        <f>"   Total "&amp;G195</f>
        <v xml:space="preserve">   Total Lease &amp; Rental</v>
      </c>
      <c r="H198" s="100"/>
      <c r="I198" s="116"/>
      <c r="J198" s="116"/>
      <c r="K198" s="116">
        <f>IF(K$20="CYA",K195,K195*(1+K196)+K197)</f>
        <v>917201.3600000001</v>
      </c>
      <c r="L198" s="116">
        <f>IF(L$20="CYA",L195,L195*(1+L196)+L197)</f>
        <v>917024.2</v>
      </c>
      <c r="M198" s="116">
        <f>IF(M$20="CYA",M195,M195*(1+M196)+M197)</f>
        <v>941195.33</v>
      </c>
      <c r="N198" s="116">
        <f>IF(N$20="CYA",N195,N195*(1+N196)+N197)</f>
        <v>958132.54999999993</v>
      </c>
      <c r="O198" s="116">
        <f>IF(O$20="CYA",O195,O195*(1+O196)+O197)</f>
        <v>974872.74</v>
      </c>
      <c r="P198" s="116">
        <f>IF(P$20="CYA",P195,P195*(1+P196)+P197)</f>
        <v>953344.7240522881</v>
      </c>
      <c r="Q198" s="116">
        <f>IF(Q$20="CYA",Q195,Q195*(1+Q196)+Q197)</f>
        <v>953344.7240522881</v>
      </c>
      <c r="R198" s="116">
        <f>IF(R$20="CYA",R195,R195*(1+R196)+R197)</f>
        <v>895047.28379084985</v>
      </c>
      <c r="S198" s="116">
        <f>IF(S$20="CYA",S195,S195*(1+S196)+S197)</f>
        <v>954160.04208507494</v>
      </c>
      <c r="T198" s="116">
        <f>IF(T$20="CYA",T195,T195*(1+T196)+T197)</f>
        <v>923380.68588878145</v>
      </c>
      <c r="U198" s="116">
        <f>IF(U$20="CYA",U195,U195*(1+U196)+U197)</f>
        <v>954160.04208507494</v>
      </c>
      <c r="V198" s="116">
        <f>IF(V$20="CYA",V195,V195*(1+V196)+V197)</f>
        <v>923380.68588878145</v>
      </c>
      <c r="W198" s="116">
        <f>SUM(K198:V198)</f>
        <v>11265244.36784314</v>
      </c>
      <c r="X198" s="116"/>
      <c r="Y198" s="116">
        <f>SUM(Y195:Y197)</f>
        <v>11013601.49895604</v>
      </c>
      <c r="Z198" s="116">
        <f>Y198-W198</f>
        <v>-251642.86888710037</v>
      </c>
      <c r="AA198" s="102">
        <f>IF(Y198=0,0,Z198/Y198)</f>
        <v>-2.2848372433935726E-2</v>
      </c>
      <c r="AB198" s="116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67"/>
      <c r="AP198" s="111">
        <f>ROW(Control!D52)</f>
        <v>52</v>
      </c>
      <c r="AQ198" s="111"/>
      <c r="AR198" s="167"/>
      <c r="AS198" s="167"/>
      <c r="AT198" s="167" t="str">
        <f>IF(OR(AU198=0,AV198=0),"NoSave","[Save]")</f>
        <v>NoSave</v>
      </c>
      <c r="AU198" s="111" cm="1">
        <f t="array" ref="AU198">INDEX(Control!G$1:G$9997,$AP198)</f>
        <v>0</v>
      </c>
      <c r="AV198" s="111" cm="1">
        <f t="array" ref="AV198">INDEX(Control!I$1:I$9997,$AP198)</f>
        <v>65100</v>
      </c>
      <c r="AW198" s="111">
        <v>1</v>
      </c>
      <c r="AX198" s="281">
        <f>IF(K$20="CYA",0,K198-K195)</f>
        <v>0</v>
      </c>
      <c r="AY198" s="281">
        <f t="shared" ref="AY198" si="497">IF(L$20="CYA",0,L198-L195)</f>
        <v>0</v>
      </c>
      <c r="AZ198" s="281">
        <f t="shared" ref="AZ198" si="498">IF(M$20="CYA",0,M198-M195)</f>
        <v>0</v>
      </c>
      <c r="BA198" s="281">
        <f t="shared" ref="BA198" si="499">IF(N$20="CYA",0,N198-N195)</f>
        <v>0</v>
      </c>
      <c r="BB198" s="281">
        <f t="shared" ref="BB198" si="500">IF(O$20="CYA",0,O198-O195)</f>
        <v>0</v>
      </c>
      <c r="BC198" s="281">
        <f t="shared" ref="BC198" si="501">IF(P$20="CYA",0,P198-P195)</f>
        <v>0</v>
      </c>
      <c r="BD198" s="281">
        <f t="shared" ref="BD198" si="502">IF(Q$20="CYA",0,Q198-Q195)</f>
        <v>0</v>
      </c>
      <c r="BE198" s="281">
        <f t="shared" ref="BE198" si="503">IF(R$20="CYA",0,R198-R195)</f>
        <v>0</v>
      </c>
      <c r="BF198" s="281">
        <f t="shared" ref="BF198" si="504">IF(S$20="CYA",0,S198-S195)</f>
        <v>0</v>
      </c>
      <c r="BG198" s="281">
        <f t="shared" ref="BG198" si="505">IF(T$20="CYA",0,T198-T195)</f>
        <v>0</v>
      </c>
      <c r="BH198" s="281">
        <f t="shared" ref="BH198" si="506">IF(U$20="CYA",0,U198-U195)</f>
        <v>0</v>
      </c>
      <c r="BI198" s="281">
        <f t="shared" ref="BI198" si="507">IF(V$20="CYA",0,V198-V195)</f>
        <v>0</v>
      </c>
    </row>
    <row r="199" spans="1:63" ht="16.8">
      <c r="A199" s="105"/>
      <c r="B199" s="106"/>
      <c r="C199" s="112"/>
      <c r="D199" s="110"/>
      <c r="E199" s="112"/>
      <c r="F199" s="74"/>
      <c r="G199" s="95"/>
      <c r="H199" s="95"/>
      <c r="I199" s="95"/>
      <c r="J199" s="67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67"/>
      <c r="AR199" s="167"/>
      <c r="AS199" s="167"/>
      <c r="AT199" s="167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11"/>
      <c r="BH199" s="111"/>
      <c r="BI199" s="111"/>
    </row>
    <row r="200" spans="1:63" ht="17.399999999999999" thickBot="1">
      <c r="A200" s="105" t="str">
        <f>C200</f>
        <v>E_MaintRepairs</v>
      </c>
      <c r="B200" s="106"/>
      <c r="C200" s="112" t="s">
        <v>348</v>
      </c>
      <c r="D200" s="110"/>
      <c r="E200" s="112"/>
      <c r="F200" s="74"/>
      <c r="G200" s="95" t="s">
        <v>242</v>
      </c>
      <c r="H200" s="95"/>
      <c r="I200" s="95"/>
      <c r="J200" s="67"/>
      <c r="K200" s="96">
        <v>363322.27</v>
      </c>
      <c r="L200" s="96">
        <v>397789.5</v>
      </c>
      <c r="M200" s="96">
        <v>399454.08</v>
      </c>
      <c r="N200" s="96">
        <v>490681.92</v>
      </c>
      <c r="O200" s="96">
        <v>484347.11</v>
      </c>
      <c r="P200" s="96">
        <v>409382.37625568901</v>
      </c>
      <c r="Q200" s="96">
        <v>498654.6106731036</v>
      </c>
      <c r="R200" s="96">
        <v>513043.48834663426</v>
      </c>
      <c r="S200" s="96">
        <v>691364.42867583432</v>
      </c>
      <c r="T200" s="96">
        <v>717999.57586289675</v>
      </c>
      <c r="U200" s="96">
        <v>703237.53748597321</v>
      </c>
      <c r="V200" s="96">
        <v>575237.21982348745</v>
      </c>
      <c r="W200" s="96">
        <f>SUM(K200:V200)</f>
        <v>6244514.1171236178</v>
      </c>
      <c r="X200" s="96"/>
      <c r="Y200" s="96">
        <v>7552569.5336410766</v>
      </c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R200" s="167"/>
      <c r="AS200" s="167"/>
      <c r="AT200" s="167"/>
      <c r="AU200" s="111"/>
      <c r="AV200" s="111"/>
      <c r="AW200" s="111">
        <v>1</v>
      </c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1"/>
    </row>
    <row r="201" spans="1:63" ht="18" thickTop="1" thickBot="1">
      <c r="A201" s="105"/>
      <c r="B201" s="106"/>
      <c r="C201" s="112" t="str">
        <f>"ACCT.FSDetail='"&amp;C200&amp;"'"</f>
        <v>ACCT.FSDetail='E_MaintRepairs'</v>
      </c>
      <c r="D201" s="110" t="s">
        <v>411</v>
      </c>
      <c r="E201" s="112"/>
      <c r="F201" s="58"/>
      <c r="G201" s="95" t="s">
        <v>328</v>
      </c>
      <c r="H201" s="95"/>
      <c r="I201" s="95"/>
      <c r="J201" s="46"/>
      <c r="K201" s="86">
        <v>0</v>
      </c>
      <c r="L201" s="86">
        <v>0</v>
      </c>
      <c r="M201" s="86">
        <v>0</v>
      </c>
      <c r="N201" s="86">
        <v>0</v>
      </c>
      <c r="O201" s="86">
        <v>0</v>
      </c>
      <c r="P201" s="86">
        <v>0</v>
      </c>
      <c r="Q201" s="86">
        <v>0</v>
      </c>
      <c r="R201" s="86">
        <v>0</v>
      </c>
      <c r="S201" s="90">
        <f t="shared" ref="S201:V202" si="508">AK201</f>
        <v>0</v>
      </c>
      <c r="T201" s="90">
        <f t="shared" si="508"/>
        <v>0</v>
      </c>
      <c r="U201" s="90">
        <f t="shared" si="508"/>
        <v>0</v>
      </c>
      <c r="V201" s="90">
        <f t="shared" si="508"/>
        <v>0</v>
      </c>
      <c r="W201" s="97">
        <f>IF(W203=0,0,1-(SUM(W202,W200)/W203))</f>
        <v>0</v>
      </c>
      <c r="X201" s="97"/>
      <c r="Y201" s="97"/>
      <c r="Z201" s="97"/>
      <c r="AA201" s="97"/>
      <c r="AB201" s="97"/>
      <c r="AC201" s="97" cm="1">
        <f t="array" ref="AC201">IF(AC$7="",0,_xll.GetData(AC$7,$AQ201))</f>
        <v>0</v>
      </c>
      <c r="AD201" s="97" cm="1">
        <f t="array" ref="AD201">IF(AD$7="",0,_xll.GetData(AD$7,$AQ201))</f>
        <v>0</v>
      </c>
      <c r="AE201" s="97" cm="1">
        <f t="array" ref="AE201">IF(AE$7="",0,_xll.GetData(AE$7,$AQ201))</f>
        <v>0</v>
      </c>
      <c r="AF201" s="97" cm="1">
        <f t="array" ref="AF201">IF(AF$7="",0,_xll.GetData(AF$7,$AQ201))</f>
        <v>0</v>
      </c>
      <c r="AG201" s="97" cm="1">
        <f t="array" ref="AG201">IF(AG$7="",0,_xll.GetData(AG$7,$AQ201))</f>
        <v>0</v>
      </c>
      <c r="AH201" s="97" cm="1">
        <f t="array" ref="AH201">IF(AH$7="",0,_xll.GetData(AH$7,$AQ201))</f>
        <v>0</v>
      </c>
      <c r="AI201" s="97" cm="1">
        <f t="array" ref="AI201">IF(AI$7="",0,_xll.GetData(AI$7,$AQ201))</f>
        <v>0</v>
      </c>
      <c r="AJ201" s="97" cm="1">
        <f t="array" ref="AJ201">IF(AJ$7="",0,_xll.GetData(AJ$7,$AQ201))</f>
        <v>0</v>
      </c>
      <c r="AK201" s="97" cm="1">
        <f t="array" ref="AK201">IF(AK$7="",0,_xll.GetData(AK$7,$AQ201))</f>
        <v>0</v>
      </c>
      <c r="AL201" s="97" cm="1">
        <f t="array" ref="AL201">IF(AL$7="",0,_xll.GetData(AL$7,$AQ201))</f>
        <v>0</v>
      </c>
      <c r="AM201" s="97" cm="1">
        <f t="array" ref="AM201">IF(AM$7="",0,_xll.GetData(AM$7,$AQ201))</f>
        <v>0</v>
      </c>
      <c r="AN201" s="97" cm="1">
        <f t="array" ref="AN201">IF(AN$7="",0,_xll.GetData(AN$7,$AQ201))</f>
        <v>0</v>
      </c>
      <c r="AO201" s="46"/>
      <c r="AP201" s="111">
        <f>AP203</f>
        <v>53</v>
      </c>
      <c r="AQ201" s="111" t="str">
        <f>"Dept="&amp;AU201&amp;" And Acct="&amp;AV201</f>
        <v>Dept=0 And Acct=64200</v>
      </c>
      <c r="AR201" s="167" t="str">
        <f>IF(OR(AU201=0,AV201=0),"NoSave","[Save]")</f>
        <v>NoSave</v>
      </c>
      <c r="AS201" s="167"/>
      <c r="AT201" s="167"/>
      <c r="AU201" s="111">
        <f>AU203</f>
        <v>0</v>
      </c>
      <c r="AV201" s="111">
        <f>AV203</f>
        <v>64200</v>
      </c>
      <c r="AW201" s="111">
        <v>1</v>
      </c>
      <c r="AX201" s="280">
        <f>IF(K$20="CYA",0,K201)</f>
        <v>0</v>
      </c>
      <c r="AY201" s="280">
        <f t="shared" ref="AY201:AY202" si="509">IF(L$20="CYA",0,L201)</f>
        <v>0</v>
      </c>
      <c r="AZ201" s="280">
        <f t="shared" ref="AZ201:AZ202" si="510">IF(M$20="CYA",0,M201)</f>
        <v>0</v>
      </c>
      <c r="BA201" s="280">
        <f t="shared" ref="BA201:BA202" si="511">IF(N$20="CYA",0,N201)</f>
        <v>0</v>
      </c>
      <c r="BB201" s="280">
        <f t="shared" ref="BB201:BB202" si="512">IF(O$20="CYA",0,O201)</f>
        <v>0</v>
      </c>
      <c r="BC201" s="280">
        <f t="shared" ref="BC201:BC202" si="513">IF(P$20="CYA",0,P201)</f>
        <v>0</v>
      </c>
      <c r="BD201" s="280">
        <f t="shared" ref="BD201:BD202" si="514">IF(Q$20="CYA",0,Q201)</f>
        <v>0</v>
      </c>
      <c r="BE201" s="280">
        <f t="shared" ref="BE201:BE202" si="515">IF(R$20="CYA",0,R201)</f>
        <v>0</v>
      </c>
      <c r="BF201" s="280">
        <f t="shared" ref="BF201:BF202" si="516">IF(S$20="CYA",0,S201)</f>
        <v>0</v>
      </c>
      <c r="BG201" s="280">
        <f t="shared" ref="BG201:BG202" si="517">IF(T$20="CYA",0,T201)</f>
        <v>0</v>
      </c>
      <c r="BH201" s="280">
        <f t="shared" ref="BH201:BH202" si="518">IF(U$20="CYA",0,U201)</f>
        <v>0</v>
      </c>
      <c r="BI201" s="280">
        <f t="shared" ref="BI201:BI202" si="519">IF(V$20="CYA",0,V201)</f>
        <v>0</v>
      </c>
      <c r="BJ201" s="90">
        <f>CB201</f>
        <v>0</v>
      </c>
      <c r="BK201" s="86">
        <v>0</v>
      </c>
    </row>
    <row r="202" spans="1:63" ht="18" thickTop="1" thickBot="1">
      <c r="A202" s="113"/>
      <c r="B202" s="106"/>
      <c r="C202" s="112" t="str">
        <f>C201</f>
        <v>ACCT.FSDetail='E_MaintRepairs'</v>
      </c>
      <c r="D202" s="110" t="s">
        <v>411</v>
      </c>
      <c r="E202" s="112"/>
      <c r="F202" s="58"/>
      <c r="G202" s="95" t="s">
        <v>329</v>
      </c>
      <c r="H202" s="95"/>
      <c r="I202" s="95"/>
      <c r="J202" s="67"/>
      <c r="K202" s="96">
        <v>0</v>
      </c>
      <c r="L202" s="96">
        <v>0</v>
      </c>
      <c r="M202" s="96">
        <v>0</v>
      </c>
      <c r="N202" s="96">
        <v>0</v>
      </c>
      <c r="O202" s="96">
        <v>0</v>
      </c>
      <c r="P202" s="96">
        <v>0</v>
      </c>
      <c r="Q202" s="96">
        <v>0</v>
      </c>
      <c r="R202" s="96">
        <v>0</v>
      </c>
      <c r="S202" s="89">
        <f t="shared" si="508"/>
        <v>0</v>
      </c>
      <c r="T202" s="89">
        <f t="shared" si="508"/>
        <v>0</v>
      </c>
      <c r="U202" s="89">
        <f t="shared" si="508"/>
        <v>0</v>
      </c>
      <c r="V202" s="89">
        <f t="shared" si="508"/>
        <v>0</v>
      </c>
      <c r="W202" s="96">
        <f>SUM(K202:V202)</f>
        <v>0</v>
      </c>
      <c r="X202" s="96"/>
      <c r="Y202" s="96"/>
      <c r="Z202" s="96"/>
      <c r="AA202" s="96"/>
      <c r="AB202" s="96"/>
      <c r="AC202" s="96" cm="1">
        <f t="array" ref="AC202">IF(AC$8="",0,_xll.GetData(AC$8,$AQ202))</f>
        <v>0</v>
      </c>
      <c r="AD202" s="96" cm="1">
        <f t="array" ref="AD202">IF(AD$8="",0,_xll.GetData(AD$8,$AQ202))</f>
        <v>0</v>
      </c>
      <c r="AE202" s="96" cm="1">
        <f t="array" ref="AE202">IF(AE$8="",0,_xll.GetData(AE$8,$AQ202))</f>
        <v>0</v>
      </c>
      <c r="AF202" s="96" cm="1">
        <f t="array" ref="AF202">IF(AF$8="",0,_xll.GetData(AF$8,$AQ202))</f>
        <v>0</v>
      </c>
      <c r="AG202" s="96" cm="1">
        <f t="array" ref="AG202">IF(AG$8="",0,_xll.GetData(AG$8,$AQ202))</f>
        <v>0</v>
      </c>
      <c r="AH202" s="96" cm="1">
        <f t="array" ref="AH202">IF(AH$8="",0,_xll.GetData(AH$8,$AQ202))</f>
        <v>0</v>
      </c>
      <c r="AI202" s="96" cm="1">
        <f t="array" ref="AI202">IF(AI$8="",0,_xll.GetData(AI$8,$AQ202))</f>
        <v>0</v>
      </c>
      <c r="AJ202" s="96" cm="1">
        <f t="array" ref="AJ202">IF(AJ$8="",0,_xll.GetData(AJ$8,$AQ202))</f>
        <v>0</v>
      </c>
      <c r="AK202" s="96" cm="1">
        <f t="array" ref="AK202">IF(AK$8="",0,_xll.GetData(AK$8,$AQ202))</f>
        <v>0</v>
      </c>
      <c r="AL202" s="96" cm="1">
        <f t="array" ref="AL202">IF(AL$8="",0,_xll.GetData(AL$8,$AQ202))</f>
        <v>0</v>
      </c>
      <c r="AM202" s="96" cm="1">
        <f t="array" ref="AM202">IF(AM$8="",0,_xll.GetData(AM$8,$AQ202))</f>
        <v>0</v>
      </c>
      <c r="AN202" s="96" cm="1">
        <f t="array" ref="AN202">IF(AN$8="",0,_xll.GetData(AN$8,$AQ202))</f>
        <v>0</v>
      </c>
      <c r="AO202" s="69"/>
      <c r="AP202" s="111">
        <f>AP203</f>
        <v>53</v>
      </c>
      <c r="AQ202" s="111" t="str">
        <f>"Dept="&amp;AU202&amp;" And Acct="&amp;AV202</f>
        <v>Dept=0 And Acct=64200</v>
      </c>
      <c r="AR202" s="167"/>
      <c r="AS202" s="167" t="str">
        <f>IF(OR(AU202=0,AV202=0),"NoSave","[Save]")</f>
        <v>NoSave</v>
      </c>
      <c r="AT202" s="167"/>
      <c r="AU202" s="111">
        <f>AU203</f>
        <v>0</v>
      </c>
      <c r="AV202" s="111">
        <f>AV203</f>
        <v>64200</v>
      </c>
      <c r="AW202" s="111">
        <v>1</v>
      </c>
      <c r="AX202" s="281">
        <f>IF(K$20="CYA",0,K202)</f>
        <v>0</v>
      </c>
      <c r="AY202" s="281">
        <f t="shared" si="509"/>
        <v>0</v>
      </c>
      <c r="AZ202" s="281">
        <f t="shared" si="510"/>
        <v>0</v>
      </c>
      <c r="BA202" s="281">
        <f t="shared" si="511"/>
        <v>0</v>
      </c>
      <c r="BB202" s="281">
        <f t="shared" si="512"/>
        <v>0</v>
      </c>
      <c r="BC202" s="281">
        <f t="shared" si="513"/>
        <v>0</v>
      </c>
      <c r="BD202" s="281">
        <f t="shared" si="514"/>
        <v>0</v>
      </c>
      <c r="BE202" s="281">
        <f t="shared" si="515"/>
        <v>0</v>
      </c>
      <c r="BF202" s="281">
        <f t="shared" si="516"/>
        <v>0</v>
      </c>
      <c r="BG202" s="281">
        <f t="shared" si="517"/>
        <v>0</v>
      </c>
      <c r="BH202" s="281">
        <f t="shared" si="518"/>
        <v>0</v>
      </c>
      <c r="BI202" s="281">
        <f t="shared" si="519"/>
        <v>0</v>
      </c>
      <c r="BJ202" s="89">
        <f>CB202</f>
        <v>0</v>
      </c>
      <c r="BK202" s="96">
        <v>0</v>
      </c>
    </row>
    <row r="203" spans="1:63" ht="17.399999999999999" thickTop="1">
      <c r="A203" s="105"/>
      <c r="B203" s="114" t="str">
        <f>C200</f>
        <v>E_MaintRepairs</v>
      </c>
      <c r="C203" s="112" t="s">
        <v>278</v>
      </c>
      <c r="D203" s="110"/>
      <c r="E203" s="112"/>
      <c r="F203" s="74"/>
      <c r="G203" s="100" t="str">
        <f>"   Total "&amp;G200</f>
        <v xml:space="preserve">   Total Maintenance &amp; Repairs</v>
      </c>
      <c r="H203" s="100"/>
      <c r="I203" s="100"/>
      <c r="J203" s="116"/>
      <c r="K203" s="116">
        <f>IF(K$20="CYA",K200,K200*(1+K201)+K202)</f>
        <v>363322.27</v>
      </c>
      <c r="L203" s="116">
        <f>IF(L$20="CYA",L200,L200*(1+L201)+L202)</f>
        <v>397789.5</v>
      </c>
      <c r="M203" s="116">
        <f>IF(M$20="CYA",M200,M200*(1+M201)+M202)</f>
        <v>399454.08</v>
      </c>
      <c r="N203" s="116">
        <f>IF(N$20="CYA",N200,N200*(1+N201)+N202)</f>
        <v>490681.92</v>
      </c>
      <c r="O203" s="116">
        <f>IF(O$20="CYA",O200,O200*(1+O201)+O202)</f>
        <v>484347.11</v>
      </c>
      <c r="P203" s="116">
        <f>IF(P$20="CYA",P200,P200*(1+P201)+P202)</f>
        <v>409382.37625568901</v>
      </c>
      <c r="Q203" s="116">
        <f>IF(Q$20="CYA",Q200,Q200*(1+Q201)+Q202)</f>
        <v>498654.6106731036</v>
      </c>
      <c r="R203" s="116">
        <f>IF(R$20="CYA",R200,R200*(1+R201)+R202)</f>
        <v>513043.48834663426</v>
      </c>
      <c r="S203" s="116">
        <f>IF(S$20="CYA",S200,S200*(1+S201)+S202)</f>
        <v>691364.42867583432</v>
      </c>
      <c r="T203" s="116">
        <f>IF(T$20="CYA",T200,T200*(1+T201)+T202)</f>
        <v>717999.57586289675</v>
      </c>
      <c r="U203" s="116">
        <f>IF(U$20="CYA",U200,U200*(1+U201)+U202)</f>
        <v>703237.53748597321</v>
      </c>
      <c r="V203" s="116">
        <f>IF(V$20="CYA",V200,V200*(1+V201)+V202)</f>
        <v>575237.21982348745</v>
      </c>
      <c r="W203" s="116">
        <f>SUM(K203:V203)</f>
        <v>6244514.1171236178</v>
      </c>
      <c r="X203" s="116"/>
      <c r="Y203" s="116">
        <f>SUM(Y200:Y202)</f>
        <v>7552569.5336410766</v>
      </c>
      <c r="Z203" s="116">
        <f>Y203-W203</f>
        <v>1308055.4165174589</v>
      </c>
      <c r="AA203" s="102">
        <f>IF(Y203=0,0,Z203/Y203)</f>
        <v>0.17319342916222691</v>
      </c>
      <c r="AB203" s="116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67"/>
      <c r="AP203" s="111">
        <f>ROW(Control!D53)</f>
        <v>53</v>
      </c>
      <c r="AQ203" s="111"/>
      <c r="AR203" s="167"/>
      <c r="AS203" s="167"/>
      <c r="AT203" s="167" t="str">
        <f>IF(OR(AU203=0,AV203=0),"NoSave","[Save]")</f>
        <v>NoSave</v>
      </c>
      <c r="AU203" s="111" cm="1">
        <f t="array" ref="AU203">INDEX(Control!G$1:G$9997,$AP203)</f>
        <v>0</v>
      </c>
      <c r="AV203" s="111" cm="1">
        <f t="array" ref="AV203">INDEX(Control!I$1:I$9997,$AP203)</f>
        <v>64200</v>
      </c>
      <c r="AW203" s="111">
        <v>1</v>
      </c>
      <c r="AX203" s="281">
        <f>IF(K$20="CYA",0,K203-K200)</f>
        <v>0</v>
      </c>
      <c r="AY203" s="281">
        <f t="shared" ref="AY203" si="520">IF(L$20="CYA",0,L203-L200)</f>
        <v>0</v>
      </c>
      <c r="AZ203" s="281">
        <f t="shared" ref="AZ203" si="521">IF(M$20="CYA",0,M203-M200)</f>
        <v>0</v>
      </c>
      <c r="BA203" s="281">
        <f t="shared" ref="BA203" si="522">IF(N$20="CYA",0,N203-N200)</f>
        <v>0</v>
      </c>
      <c r="BB203" s="281">
        <f t="shared" ref="BB203" si="523">IF(O$20="CYA",0,O203-O200)</f>
        <v>0</v>
      </c>
      <c r="BC203" s="281">
        <f t="shared" ref="BC203" si="524">IF(P$20="CYA",0,P203-P200)</f>
        <v>0</v>
      </c>
      <c r="BD203" s="281">
        <f t="shared" ref="BD203" si="525">IF(Q$20="CYA",0,Q203-Q200)</f>
        <v>0</v>
      </c>
      <c r="BE203" s="281">
        <f t="shared" ref="BE203" si="526">IF(R$20="CYA",0,R203-R200)</f>
        <v>0</v>
      </c>
      <c r="BF203" s="281">
        <f t="shared" ref="BF203" si="527">IF(S$20="CYA",0,S203-S200)</f>
        <v>0</v>
      </c>
      <c r="BG203" s="281">
        <f t="shared" ref="BG203" si="528">IF(T$20="CYA",0,T203-T200)</f>
        <v>0</v>
      </c>
      <c r="BH203" s="281">
        <f t="shared" ref="BH203" si="529">IF(U$20="CYA",0,U203-U200)</f>
        <v>0</v>
      </c>
      <c r="BI203" s="281">
        <f t="shared" ref="BI203" si="530">IF(V$20="CYA",0,V203-V200)</f>
        <v>0</v>
      </c>
    </row>
    <row r="204" spans="1:63" ht="16.8">
      <c r="A204" s="105"/>
      <c r="B204" s="106"/>
      <c r="C204" s="112"/>
      <c r="D204" s="110"/>
      <c r="E204" s="112"/>
      <c r="F204" s="74"/>
      <c r="G204" s="95"/>
      <c r="H204" s="95"/>
      <c r="I204" s="95"/>
      <c r="J204" s="67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67"/>
      <c r="AR204" s="167"/>
      <c r="AS204" s="167"/>
      <c r="AT204" s="167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</row>
    <row r="205" spans="1:63" ht="17.399999999999999" thickBot="1">
      <c r="A205" s="105" t="str">
        <f>C205</f>
        <v>E_Utilities</v>
      </c>
      <c r="B205" s="106"/>
      <c r="C205" s="112" t="s">
        <v>349</v>
      </c>
      <c r="D205" s="110"/>
      <c r="E205" s="112"/>
      <c r="F205" s="74"/>
      <c r="G205" s="95" t="s">
        <v>243</v>
      </c>
      <c r="H205" s="95"/>
      <c r="I205" s="95"/>
      <c r="J205" s="67"/>
      <c r="K205" s="96">
        <v>599794.43999999994</v>
      </c>
      <c r="L205" s="96">
        <v>601441.03</v>
      </c>
      <c r="M205" s="96">
        <v>581746.62</v>
      </c>
      <c r="N205" s="96">
        <v>565670.13</v>
      </c>
      <c r="O205" s="96">
        <v>580426.36</v>
      </c>
      <c r="P205" s="96">
        <v>520263.35876917228</v>
      </c>
      <c r="Q205" s="96">
        <v>517290.63550551573</v>
      </c>
      <c r="R205" s="96">
        <v>813733.243539399</v>
      </c>
      <c r="S205" s="96">
        <v>708845.70207576221</v>
      </c>
      <c r="T205" s="96">
        <v>797732.49500203214</v>
      </c>
      <c r="U205" s="96">
        <v>802129.58091302949</v>
      </c>
      <c r="V205" s="96">
        <v>817513.64231036697</v>
      </c>
      <c r="W205" s="96">
        <f>SUM(K205:V205)</f>
        <v>7906587.2381152771</v>
      </c>
      <c r="X205" s="96"/>
      <c r="Y205" s="96">
        <v>8125334.8067778088</v>
      </c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R205" s="167"/>
      <c r="AS205" s="167"/>
      <c r="AT205" s="167"/>
      <c r="AU205" s="111"/>
      <c r="AV205" s="111"/>
      <c r="AW205" s="111">
        <v>1</v>
      </c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</row>
    <row r="206" spans="1:63" ht="18" thickTop="1" thickBot="1">
      <c r="A206" s="105"/>
      <c r="B206" s="106"/>
      <c r="C206" s="112" t="str">
        <f>"ACCT.FSDetail='"&amp;C205&amp;"'"</f>
        <v>ACCT.FSDetail='E_Utilities'</v>
      </c>
      <c r="D206" s="110" t="s">
        <v>411</v>
      </c>
      <c r="E206" s="112"/>
      <c r="F206" s="58"/>
      <c r="G206" s="95" t="s">
        <v>328</v>
      </c>
      <c r="H206" s="95"/>
      <c r="I206" s="95"/>
      <c r="J206" s="46"/>
      <c r="K206" s="86">
        <v>0</v>
      </c>
      <c r="L206" s="86">
        <v>0</v>
      </c>
      <c r="M206" s="86">
        <v>0</v>
      </c>
      <c r="N206" s="86">
        <v>0</v>
      </c>
      <c r="O206" s="86">
        <v>0</v>
      </c>
      <c r="P206" s="86">
        <v>0</v>
      </c>
      <c r="Q206" s="86">
        <v>0</v>
      </c>
      <c r="R206" s="86">
        <v>0</v>
      </c>
      <c r="S206" s="90">
        <f t="shared" ref="S206:V207" si="531">AK206</f>
        <v>0</v>
      </c>
      <c r="T206" s="90">
        <f t="shared" si="531"/>
        <v>0</v>
      </c>
      <c r="U206" s="90">
        <f t="shared" si="531"/>
        <v>0</v>
      </c>
      <c r="V206" s="90">
        <f t="shared" si="531"/>
        <v>0</v>
      </c>
      <c r="W206" s="97">
        <f>IF(W208=0,0,1-(SUM(W207,W205)/W208))</f>
        <v>0</v>
      </c>
      <c r="X206" s="97"/>
      <c r="Y206" s="97"/>
      <c r="Z206" s="97"/>
      <c r="AA206" s="97"/>
      <c r="AB206" s="97"/>
      <c r="AC206" s="97" cm="1">
        <f t="array" ref="AC206">IF(AC$7="",0,_xll.GetData(AC$7,$AQ206))</f>
        <v>0</v>
      </c>
      <c r="AD206" s="97" cm="1">
        <f t="array" ref="AD206">IF(AD$7="",0,_xll.GetData(AD$7,$AQ206))</f>
        <v>0</v>
      </c>
      <c r="AE206" s="97" cm="1">
        <f t="array" ref="AE206">IF(AE$7="",0,_xll.GetData(AE$7,$AQ206))</f>
        <v>0</v>
      </c>
      <c r="AF206" s="97" cm="1">
        <f t="array" ref="AF206">IF(AF$7="",0,_xll.GetData(AF$7,$AQ206))</f>
        <v>0</v>
      </c>
      <c r="AG206" s="97" cm="1">
        <f t="array" ref="AG206">IF(AG$7="",0,_xll.GetData(AG$7,$AQ206))</f>
        <v>0</v>
      </c>
      <c r="AH206" s="97" cm="1">
        <f t="array" ref="AH206">IF(AH$7="",0,_xll.GetData(AH$7,$AQ206))</f>
        <v>0</v>
      </c>
      <c r="AI206" s="97" cm="1">
        <f t="array" ref="AI206">IF(AI$7="",0,_xll.GetData(AI$7,$AQ206))</f>
        <v>0</v>
      </c>
      <c r="AJ206" s="97" cm="1">
        <f t="array" ref="AJ206">IF(AJ$7="",0,_xll.GetData(AJ$7,$AQ206))</f>
        <v>0</v>
      </c>
      <c r="AK206" s="97" cm="1">
        <f t="array" ref="AK206">IF(AK$7="",0,_xll.GetData(AK$7,$AQ206))</f>
        <v>0</v>
      </c>
      <c r="AL206" s="97" cm="1">
        <f t="array" ref="AL206">IF(AL$7="",0,_xll.GetData(AL$7,$AQ206))</f>
        <v>0</v>
      </c>
      <c r="AM206" s="97" cm="1">
        <f t="array" ref="AM206">IF(AM$7="",0,_xll.GetData(AM$7,$AQ206))</f>
        <v>0</v>
      </c>
      <c r="AN206" s="97" cm="1">
        <f t="array" ref="AN206">IF(AN$7="",0,_xll.GetData(AN$7,$AQ206))</f>
        <v>0</v>
      </c>
      <c r="AO206" s="46"/>
      <c r="AP206" s="111">
        <f>AP208</f>
        <v>54</v>
      </c>
      <c r="AQ206" s="111" t="str">
        <f>"Dept="&amp;AU206&amp;" And Acct="&amp;AV206</f>
        <v>Dept=0 And Acct=66100</v>
      </c>
      <c r="AR206" s="167" t="str">
        <f>IF(OR(AU206=0,AV206=0),"NoSave","[Save]")</f>
        <v>NoSave</v>
      </c>
      <c r="AS206" s="167"/>
      <c r="AT206" s="167"/>
      <c r="AU206" s="111">
        <f>AU208</f>
        <v>0</v>
      </c>
      <c r="AV206" s="111">
        <f>AV208</f>
        <v>66100</v>
      </c>
      <c r="AW206" s="111">
        <v>1</v>
      </c>
      <c r="AX206" s="280">
        <f>IF(K$20="CYA",0,K206)</f>
        <v>0</v>
      </c>
      <c r="AY206" s="280">
        <f t="shared" ref="AY206:AY207" si="532">IF(L$20="CYA",0,L206)</f>
        <v>0</v>
      </c>
      <c r="AZ206" s="280">
        <f t="shared" ref="AZ206:AZ207" si="533">IF(M$20="CYA",0,M206)</f>
        <v>0</v>
      </c>
      <c r="BA206" s="280">
        <f t="shared" ref="BA206:BA207" si="534">IF(N$20="CYA",0,N206)</f>
        <v>0</v>
      </c>
      <c r="BB206" s="280">
        <f t="shared" ref="BB206:BB207" si="535">IF(O$20="CYA",0,O206)</f>
        <v>0</v>
      </c>
      <c r="BC206" s="280">
        <f t="shared" ref="BC206:BC207" si="536">IF(P$20="CYA",0,P206)</f>
        <v>0</v>
      </c>
      <c r="BD206" s="280">
        <f t="shared" ref="BD206:BD207" si="537">IF(Q$20="CYA",0,Q206)</f>
        <v>0</v>
      </c>
      <c r="BE206" s="280">
        <f t="shared" ref="BE206:BE207" si="538">IF(R$20="CYA",0,R206)</f>
        <v>0</v>
      </c>
      <c r="BF206" s="280">
        <f t="shared" ref="BF206:BF207" si="539">IF(S$20="CYA",0,S206)</f>
        <v>0</v>
      </c>
      <c r="BG206" s="280">
        <f t="shared" ref="BG206:BG207" si="540">IF(T$20="CYA",0,T206)</f>
        <v>0</v>
      </c>
      <c r="BH206" s="280">
        <f t="shared" ref="BH206:BH207" si="541">IF(U$20="CYA",0,U206)</f>
        <v>0</v>
      </c>
      <c r="BI206" s="280">
        <f t="shared" ref="BI206:BI207" si="542">IF(V$20="CYA",0,V206)</f>
        <v>0</v>
      </c>
      <c r="BJ206" s="90">
        <f>CB206</f>
        <v>0</v>
      </c>
      <c r="BK206" s="86">
        <v>0</v>
      </c>
    </row>
    <row r="207" spans="1:63" ht="18" thickTop="1" thickBot="1">
      <c r="A207" s="113"/>
      <c r="B207" s="106"/>
      <c r="C207" s="112" t="str">
        <f>C206</f>
        <v>ACCT.FSDetail='E_Utilities'</v>
      </c>
      <c r="D207" s="110" t="s">
        <v>411</v>
      </c>
      <c r="E207" s="112"/>
      <c r="F207" s="58"/>
      <c r="G207" s="95" t="s">
        <v>329</v>
      </c>
      <c r="H207" s="95"/>
      <c r="I207" s="95"/>
      <c r="J207" s="67"/>
      <c r="K207" s="96">
        <v>0</v>
      </c>
      <c r="L207" s="96">
        <v>0</v>
      </c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89">
        <f t="shared" si="531"/>
        <v>0</v>
      </c>
      <c r="T207" s="89">
        <f t="shared" si="531"/>
        <v>0</v>
      </c>
      <c r="U207" s="89">
        <f t="shared" si="531"/>
        <v>0</v>
      </c>
      <c r="V207" s="89">
        <f t="shared" si="531"/>
        <v>0</v>
      </c>
      <c r="W207" s="96">
        <f>SUM(K207:V207)</f>
        <v>0</v>
      </c>
      <c r="X207" s="96"/>
      <c r="Y207" s="96"/>
      <c r="Z207" s="96"/>
      <c r="AA207" s="96"/>
      <c r="AB207" s="96"/>
      <c r="AC207" s="96" cm="1">
        <f t="array" ref="AC207">IF(AC$8="",0,_xll.GetData(AC$8,$AQ207))</f>
        <v>0</v>
      </c>
      <c r="AD207" s="96" cm="1">
        <f t="array" ref="AD207">IF(AD$8="",0,_xll.GetData(AD$8,$AQ207))</f>
        <v>0</v>
      </c>
      <c r="AE207" s="96" cm="1">
        <f t="array" ref="AE207">IF(AE$8="",0,_xll.GetData(AE$8,$AQ207))</f>
        <v>0</v>
      </c>
      <c r="AF207" s="96" cm="1">
        <f t="array" ref="AF207">IF(AF$8="",0,_xll.GetData(AF$8,$AQ207))</f>
        <v>0</v>
      </c>
      <c r="AG207" s="96" cm="1">
        <f t="array" ref="AG207">IF(AG$8="",0,_xll.GetData(AG$8,$AQ207))</f>
        <v>0</v>
      </c>
      <c r="AH207" s="96" cm="1">
        <f t="array" ref="AH207">IF(AH$8="",0,_xll.GetData(AH$8,$AQ207))</f>
        <v>0</v>
      </c>
      <c r="AI207" s="96" cm="1">
        <f t="array" ref="AI207">IF(AI$8="",0,_xll.GetData(AI$8,$AQ207))</f>
        <v>0</v>
      </c>
      <c r="AJ207" s="96" cm="1">
        <f t="array" ref="AJ207">IF(AJ$8="",0,_xll.GetData(AJ$8,$AQ207))</f>
        <v>0</v>
      </c>
      <c r="AK207" s="96" cm="1">
        <f t="array" ref="AK207">IF(AK$8="",0,_xll.GetData(AK$8,$AQ207))</f>
        <v>0</v>
      </c>
      <c r="AL207" s="96" cm="1">
        <f t="array" ref="AL207">IF(AL$8="",0,_xll.GetData(AL$8,$AQ207))</f>
        <v>0</v>
      </c>
      <c r="AM207" s="96" cm="1">
        <f t="array" ref="AM207">IF(AM$8="",0,_xll.GetData(AM$8,$AQ207))</f>
        <v>0</v>
      </c>
      <c r="AN207" s="96" cm="1">
        <f t="array" ref="AN207">IF(AN$8="",0,_xll.GetData(AN$8,$AQ207))</f>
        <v>0</v>
      </c>
      <c r="AO207" s="69"/>
      <c r="AP207" s="111">
        <f>AP208</f>
        <v>54</v>
      </c>
      <c r="AQ207" s="111" t="str">
        <f>"Dept="&amp;AU207&amp;" And Acct="&amp;AV207</f>
        <v>Dept=0 And Acct=66100</v>
      </c>
      <c r="AR207" s="167"/>
      <c r="AS207" s="167" t="str">
        <f>IF(OR(AU207=0,AV207=0),"NoSave","[Save]")</f>
        <v>NoSave</v>
      </c>
      <c r="AT207" s="167"/>
      <c r="AU207" s="111">
        <f>AU208</f>
        <v>0</v>
      </c>
      <c r="AV207" s="111">
        <f>AV208</f>
        <v>66100</v>
      </c>
      <c r="AW207" s="111">
        <v>1</v>
      </c>
      <c r="AX207" s="281">
        <f>IF(K$20="CYA",0,K207)</f>
        <v>0</v>
      </c>
      <c r="AY207" s="281">
        <f t="shared" si="532"/>
        <v>0</v>
      </c>
      <c r="AZ207" s="281">
        <f t="shared" si="533"/>
        <v>0</v>
      </c>
      <c r="BA207" s="281">
        <f t="shared" si="534"/>
        <v>0</v>
      </c>
      <c r="BB207" s="281">
        <f t="shared" si="535"/>
        <v>0</v>
      </c>
      <c r="BC207" s="281">
        <f t="shared" si="536"/>
        <v>0</v>
      </c>
      <c r="BD207" s="281">
        <f t="shared" si="537"/>
        <v>0</v>
      </c>
      <c r="BE207" s="281">
        <f t="shared" si="538"/>
        <v>0</v>
      </c>
      <c r="BF207" s="281">
        <f t="shared" si="539"/>
        <v>0</v>
      </c>
      <c r="BG207" s="281">
        <f t="shared" si="540"/>
        <v>0</v>
      </c>
      <c r="BH207" s="281">
        <f t="shared" si="541"/>
        <v>0</v>
      </c>
      <c r="BI207" s="281">
        <f t="shared" si="542"/>
        <v>0</v>
      </c>
      <c r="BJ207" s="89">
        <f>CB207</f>
        <v>0</v>
      </c>
      <c r="BK207" s="96">
        <v>0</v>
      </c>
    </row>
    <row r="208" spans="1:63" ht="17.399999999999999" thickTop="1">
      <c r="A208" s="105"/>
      <c r="B208" s="114" t="str">
        <f>C205</f>
        <v>E_Utilities</v>
      </c>
      <c r="C208" s="112" t="s">
        <v>278</v>
      </c>
      <c r="D208" s="110"/>
      <c r="E208" s="112"/>
      <c r="F208" s="74"/>
      <c r="G208" s="100" t="str">
        <f>"   Total "&amp;G205</f>
        <v xml:space="preserve">   Total Utilities</v>
      </c>
      <c r="H208" s="100"/>
      <c r="I208" s="100"/>
      <c r="J208" s="116"/>
      <c r="K208" s="116">
        <f>IF(K$20="CYA",K205,K205*(1+K206)+K207)</f>
        <v>599794.43999999994</v>
      </c>
      <c r="L208" s="116">
        <f>IF(L$20="CYA",L205,L205*(1+L206)+L207)</f>
        <v>601441.03</v>
      </c>
      <c r="M208" s="116">
        <f>IF(M$20="CYA",M205,M205*(1+M206)+M207)</f>
        <v>581746.62</v>
      </c>
      <c r="N208" s="116">
        <f>IF(N$20="CYA",N205,N205*(1+N206)+N207)</f>
        <v>565670.13</v>
      </c>
      <c r="O208" s="116">
        <f>IF(O$20="CYA",O205,O205*(1+O206)+O207)</f>
        <v>580426.36</v>
      </c>
      <c r="P208" s="116">
        <f>IF(P$20="CYA",P205,P205*(1+P206)+P207)</f>
        <v>520263.35876917228</v>
      </c>
      <c r="Q208" s="116">
        <f>IF(Q$20="CYA",Q205,Q205*(1+Q206)+Q207)</f>
        <v>517290.63550551573</v>
      </c>
      <c r="R208" s="116">
        <f>IF(R$20="CYA",R205,R205*(1+R206)+R207)</f>
        <v>813733.243539399</v>
      </c>
      <c r="S208" s="116">
        <f>IF(S$20="CYA",S205,S205*(1+S206)+S207)</f>
        <v>708845.70207576221</v>
      </c>
      <c r="T208" s="116">
        <f>IF(T$20="CYA",T205,T205*(1+T206)+T207)</f>
        <v>797732.49500203214</v>
      </c>
      <c r="U208" s="116">
        <f>IF(U$20="CYA",U205,U205*(1+U206)+U207)</f>
        <v>802129.58091302949</v>
      </c>
      <c r="V208" s="116">
        <f>IF(V$20="CYA",V205,V205*(1+V206)+V207)</f>
        <v>817513.64231036697</v>
      </c>
      <c r="W208" s="116">
        <f>SUM(K208:V208)</f>
        <v>7906587.2381152771</v>
      </c>
      <c r="X208" s="116"/>
      <c r="Y208" s="116">
        <f>SUM(Y205:Y207)</f>
        <v>8125334.8067778088</v>
      </c>
      <c r="Z208" s="116">
        <f>Y208-W208</f>
        <v>218747.56866253167</v>
      </c>
      <c r="AA208" s="102">
        <f>IF(Y208=0,0,Z208/Y208)</f>
        <v>2.6921668320677907E-2</v>
      </c>
      <c r="AB208" s="116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67"/>
      <c r="AP208" s="111">
        <f>ROW(Control!D54)</f>
        <v>54</v>
      </c>
      <c r="AQ208" s="111"/>
      <c r="AR208" s="167"/>
      <c r="AS208" s="167"/>
      <c r="AT208" s="167" t="str">
        <f>IF(OR(AU208=0,AV208=0),"NoSave","[Save]")</f>
        <v>NoSave</v>
      </c>
      <c r="AU208" s="111" cm="1">
        <f t="array" ref="AU208">INDEX(Control!G$1:G$9997,$AP208)</f>
        <v>0</v>
      </c>
      <c r="AV208" s="111" cm="1">
        <f t="array" ref="AV208">INDEX(Control!I$1:I$9997,$AP208)</f>
        <v>66100</v>
      </c>
      <c r="AW208" s="111">
        <v>1</v>
      </c>
      <c r="AX208" s="281">
        <f>IF(K$20="CYA",0,K208-K205)</f>
        <v>0</v>
      </c>
      <c r="AY208" s="281">
        <f t="shared" ref="AY208" si="543">IF(L$20="CYA",0,L208-L205)</f>
        <v>0</v>
      </c>
      <c r="AZ208" s="281">
        <f t="shared" ref="AZ208" si="544">IF(M$20="CYA",0,M208-M205)</f>
        <v>0</v>
      </c>
      <c r="BA208" s="281">
        <f t="shared" ref="BA208" si="545">IF(N$20="CYA",0,N208-N205)</f>
        <v>0</v>
      </c>
      <c r="BB208" s="281">
        <f t="shared" ref="BB208" si="546">IF(O$20="CYA",0,O208-O205)</f>
        <v>0</v>
      </c>
      <c r="BC208" s="281">
        <f t="shared" ref="BC208" si="547">IF(P$20="CYA",0,P208-P205)</f>
        <v>0</v>
      </c>
      <c r="BD208" s="281">
        <f t="shared" ref="BD208" si="548">IF(Q$20="CYA",0,Q208-Q205)</f>
        <v>0</v>
      </c>
      <c r="BE208" s="281">
        <f t="shared" ref="BE208" si="549">IF(R$20="CYA",0,R208-R205)</f>
        <v>0</v>
      </c>
      <c r="BF208" s="281">
        <f t="shared" ref="BF208" si="550">IF(S$20="CYA",0,S208-S205)</f>
        <v>0</v>
      </c>
      <c r="BG208" s="281">
        <f t="shared" ref="BG208" si="551">IF(T$20="CYA",0,T208-T205)</f>
        <v>0</v>
      </c>
      <c r="BH208" s="281">
        <f t="shared" ref="BH208" si="552">IF(U$20="CYA",0,U208-U205)</f>
        <v>0</v>
      </c>
      <c r="BI208" s="281">
        <f t="shared" ref="BI208" si="553">IF(V$20="CYA",0,V208-V205)</f>
        <v>0</v>
      </c>
    </row>
    <row r="209" spans="1:63" ht="16.8">
      <c r="A209" s="105"/>
      <c r="B209" s="106"/>
      <c r="C209" s="112"/>
      <c r="D209" s="110"/>
      <c r="E209" s="112"/>
      <c r="F209" s="74"/>
      <c r="G209" s="95"/>
      <c r="H209" s="95"/>
      <c r="I209" s="95"/>
      <c r="J209" s="67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67"/>
      <c r="AR209" s="167"/>
      <c r="AS209" s="167"/>
      <c r="AT209" s="167"/>
      <c r="AU209" s="111"/>
      <c r="AV209" s="111"/>
      <c r="AW209" s="111"/>
      <c r="AX209" s="111"/>
      <c r="AY209" s="111"/>
      <c r="AZ209" s="111"/>
      <c r="BA209" s="111"/>
      <c r="BB209" s="111"/>
      <c r="BC209" s="111"/>
      <c r="BD209" s="111"/>
      <c r="BE209" s="111"/>
      <c r="BF209" s="111"/>
      <c r="BG209" s="111"/>
      <c r="BH209" s="111"/>
      <c r="BI209" s="111"/>
    </row>
    <row r="210" spans="1:63" ht="17.399999999999999" thickBot="1">
      <c r="A210" s="105" t="str">
        <f>C210</f>
        <v>E_Insurance</v>
      </c>
      <c r="B210" s="106"/>
      <c r="C210" s="112" t="s">
        <v>350</v>
      </c>
      <c r="D210" s="110"/>
      <c r="E210" s="112"/>
      <c r="F210" s="74"/>
      <c r="G210" s="95" t="s">
        <v>244</v>
      </c>
      <c r="H210" s="95"/>
      <c r="I210" s="95"/>
      <c r="J210" s="67"/>
      <c r="K210" s="96">
        <v>525977.99000000011</v>
      </c>
      <c r="L210" s="96">
        <v>1044555.2599999999</v>
      </c>
      <c r="M210" s="96">
        <v>819043.96000000008</v>
      </c>
      <c r="N210" s="96">
        <v>826106.67</v>
      </c>
      <c r="O210" s="96">
        <v>877329.65000000014</v>
      </c>
      <c r="P210" s="96">
        <v>737129.97465875</v>
      </c>
      <c r="Q210" s="96">
        <v>736918.95799208316</v>
      </c>
      <c r="R210" s="96">
        <v>739158.25799208321</v>
      </c>
      <c r="S210" s="96">
        <v>752871.98857939523</v>
      </c>
      <c r="T210" s="96">
        <v>755216.61357939523</v>
      </c>
      <c r="U210" s="96">
        <v>755215.61357939511</v>
      </c>
      <c r="V210" s="96">
        <v>755216.61357939523</v>
      </c>
      <c r="W210" s="96">
        <f>SUM(K210:V210)</f>
        <v>9324741.5499604978</v>
      </c>
      <c r="X210" s="96"/>
      <c r="Y210" s="96">
        <v>8778803.9367392585</v>
      </c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R210" s="167"/>
      <c r="AS210" s="167"/>
      <c r="AT210" s="167"/>
      <c r="AU210" s="111"/>
      <c r="AV210" s="111"/>
      <c r="AW210" s="111">
        <v>1</v>
      </c>
      <c r="AX210" s="111"/>
      <c r="AY210" s="111"/>
      <c r="AZ210" s="111"/>
      <c r="BA210" s="111"/>
      <c r="BB210" s="111"/>
      <c r="BC210" s="111"/>
      <c r="BD210" s="111"/>
      <c r="BE210" s="111"/>
      <c r="BF210" s="111"/>
      <c r="BG210" s="111"/>
      <c r="BH210" s="111"/>
      <c r="BI210" s="111"/>
    </row>
    <row r="211" spans="1:63" ht="18" thickTop="1" thickBot="1">
      <c r="A211" s="105"/>
      <c r="B211" s="106"/>
      <c r="C211" s="112" t="str">
        <f>"ACCT.FSDetail='"&amp;C210&amp;"'"</f>
        <v>ACCT.FSDetail='E_Insurance'</v>
      </c>
      <c r="D211" s="110" t="s">
        <v>411</v>
      </c>
      <c r="E211" s="112"/>
      <c r="F211" s="58"/>
      <c r="G211" s="95" t="s">
        <v>328</v>
      </c>
      <c r="H211" s="95"/>
      <c r="I211" s="95"/>
      <c r="J211" s="46"/>
      <c r="K211" s="86">
        <v>0</v>
      </c>
      <c r="L211" s="86">
        <v>0</v>
      </c>
      <c r="M211" s="86">
        <v>0</v>
      </c>
      <c r="N211" s="86">
        <v>0</v>
      </c>
      <c r="O211" s="86">
        <v>0</v>
      </c>
      <c r="P211" s="86">
        <v>0</v>
      </c>
      <c r="Q211" s="86">
        <v>0</v>
      </c>
      <c r="R211" s="86">
        <v>0</v>
      </c>
      <c r="S211" s="90">
        <f t="shared" ref="S211:V212" si="554">AK211</f>
        <v>0</v>
      </c>
      <c r="T211" s="90">
        <f t="shared" si="554"/>
        <v>0</v>
      </c>
      <c r="U211" s="90">
        <f t="shared" si="554"/>
        <v>0</v>
      </c>
      <c r="V211" s="90">
        <f t="shared" si="554"/>
        <v>0</v>
      </c>
      <c r="W211" s="97">
        <f>IF(W213=0,0,1-(SUM(W212,W210)/W213))</f>
        <v>0</v>
      </c>
      <c r="X211" s="97"/>
      <c r="Y211" s="97"/>
      <c r="Z211" s="97"/>
      <c r="AA211" s="97"/>
      <c r="AB211" s="97"/>
      <c r="AC211" s="97" cm="1">
        <f t="array" ref="AC211">IF(AC$7="",0,_xll.GetData(AC$7,$AQ211))</f>
        <v>0</v>
      </c>
      <c r="AD211" s="97" cm="1">
        <f t="array" ref="AD211">IF(AD$7="",0,_xll.GetData(AD$7,$AQ211))</f>
        <v>0</v>
      </c>
      <c r="AE211" s="97" cm="1">
        <f t="array" ref="AE211">IF(AE$7="",0,_xll.GetData(AE$7,$AQ211))</f>
        <v>0</v>
      </c>
      <c r="AF211" s="97" cm="1">
        <f t="array" ref="AF211">IF(AF$7="",0,_xll.GetData(AF$7,$AQ211))</f>
        <v>0</v>
      </c>
      <c r="AG211" s="97" cm="1">
        <f t="array" ref="AG211">IF(AG$7="",0,_xll.GetData(AG$7,$AQ211))</f>
        <v>0</v>
      </c>
      <c r="AH211" s="97" cm="1">
        <f t="array" ref="AH211">IF(AH$7="",0,_xll.GetData(AH$7,$AQ211))</f>
        <v>0</v>
      </c>
      <c r="AI211" s="97" cm="1">
        <f t="array" ref="AI211">IF(AI$7="",0,_xll.GetData(AI$7,$AQ211))</f>
        <v>0</v>
      </c>
      <c r="AJ211" s="97" cm="1">
        <f t="array" ref="AJ211">IF(AJ$7="",0,_xll.GetData(AJ$7,$AQ211))</f>
        <v>0</v>
      </c>
      <c r="AK211" s="97" cm="1">
        <f t="array" ref="AK211">IF(AK$7="",0,_xll.GetData(AK$7,$AQ211))</f>
        <v>0</v>
      </c>
      <c r="AL211" s="97" cm="1">
        <f t="array" ref="AL211">IF(AL$7="",0,_xll.GetData(AL$7,$AQ211))</f>
        <v>0</v>
      </c>
      <c r="AM211" s="97" cm="1">
        <f t="array" ref="AM211">IF(AM$7="",0,_xll.GetData(AM$7,$AQ211))</f>
        <v>0</v>
      </c>
      <c r="AN211" s="97" cm="1">
        <f t="array" ref="AN211">IF(AN$7="",0,_xll.GetData(AN$7,$AQ211))</f>
        <v>0</v>
      </c>
      <c r="AO211" s="46"/>
      <c r="AP211" s="111">
        <f>AP213</f>
        <v>55</v>
      </c>
      <c r="AQ211" s="111" t="str">
        <f>"Dept="&amp;AU211&amp;" And Acct="&amp;AV211</f>
        <v>Dept=0 And Acct=69700</v>
      </c>
      <c r="AR211" s="167" t="str">
        <f>IF(OR(AU211=0,AV211=0),"NoSave","[Save]")</f>
        <v>NoSave</v>
      </c>
      <c r="AS211" s="167"/>
      <c r="AT211" s="167"/>
      <c r="AU211" s="111">
        <f>AU213</f>
        <v>0</v>
      </c>
      <c r="AV211" s="111">
        <f>AV213</f>
        <v>69700</v>
      </c>
      <c r="AW211" s="111">
        <v>1</v>
      </c>
      <c r="AX211" s="280">
        <f>IF(K$20="CYA",0,K211)</f>
        <v>0</v>
      </c>
      <c r="AY211" s="280">
        <f t="shared" ref="AY211:AY212" si="555">IF(L$20="CYA",0,L211)</f>
        <v>0</v>
      </c>
      <c r="AZ211" s="280">
        <f t="shared" ref="AZ211:AZ212" si="556">IF(M$20="CYA",0,M211)</f>
        <v>0</v>
      </c>
      <c r="BA211" s="280">
        <f t="shared" ref="BA211:BA212" si="557">IF(N$20="CYA",0,N211)</f>
        <v>0</v>
      </c>
      <c r="BB211" s="280">
        <f t="shared" ref="BB211:BB212" si="558">IF(O$20="CYA",0,O211)</f>
        <v>0</v>
      </c>
      <c r="BC211" s="280">
        <f t="shared" ref="BC211:BC212" si="559">IF(P$20="CYA",0,P211)</f>
        <v>0</v>
      </c>
      <c r="BD211" s="280">
        <f t="shared" ref="BD211:BD212" si="560">IF(Q$20="CYA",0,Q211)</f>
        <v>0</v>
      </c>
      <c r="BE211" s="280">
        <f t="shared" ref="BE211:BE212" si="561">IF(R$20="CYA",0,R211)</f>
        <v>0</v>
      </c>
      <c r="BF211" s="280">
        <f t="shared" ref="BF211:BF212" si="562">IF(S$20="CYA",0,S211)</f>
        <v>0</v>
      </c>
      <c r="BG211" s="280">
        <f t="shared" ref="BG211:BG212" si="563">IF(T$20="CYA",0,T211)</f>
        <v>0</v>
      </c>
      <c r="BH211" s="280">
        <f t="shared" ref="BH211:BH212" si="564">IF(U$20="CYA",0,U211)</f>
        <v>0</v>
      </c>
      <c r="BI211" s="280">
        <f t="shared" ref="BI211:BI212" si="565">IF(V$20="CYA",0,V211)</f>
        <v>0</v>
      </c>
      <c r="BJ211" s="90">
        <f>CB211</f>
        <v>0</v>
      </c>
      <c r="BK211" s="86">
        <v>0</v>
      </c>
    </row>
    <row r="212" spans="1:63" ht="18" thickTop="1" thickBot="1">
      <c r="A212" s="113"/>
      <c r="B212" s="106"/>
      <c r="C212" s="112" t="str">
        <f>C211</f>
        <v>ACCT.FSDetail='E_Insurance'</v>
      </c>
      <c r="D212" s="110" t="s">
        <v>411</v>
      </c>
      <c r="E212" s="112"/>
      <c r="F212" s="58"/>
      <c r="G212" s="95" t="s">
        <v>329</v>
      </c>
      <c r="H212" s="95"/>
      <c r="I212" s="95"/>
      <c r="J212" s="67"/>
      <c r="K212" s="96">
        <v>0</v>
      </c>
      <c r="L212" s="96">
        <v>0</v>
      </c>
      <c r="M212" s="96">
        <v>0</v>
      </c>
      <c r="N212" s="96">
        <v>0</v>
      </c>
      <c r="O212" s="96">
        <v>0</v>
      </c>
      <c r="P212" s="96">
        <v>0</v>
      </c>
      <c r="Q212" s="96">
        <v>0</v>
      </c>
      <c r="R212" s="96">
        <v>0</v>
      </c>
      <c r="S212" s="89">
        <f t="shared" si="554"/>
        <v>0</v>
      </c>
      <c r="T212" s="89">
        <f t="shared" si="554"/>
        <v>0</v>
      </c>
      <c r="U212" s="89">
        <f t="shared" si="554"/>
        <v>0</v>
      </c>
      <c r="V212" s="89">
        <f t="shared" si="554"/>
        <v>0</v>
      </c>
      <c r="W212" s="96">
        <f>SUM(K212:V212)</f>
        <v>0</v>
      </c>
      <c r="X212" s="96"/>
      <c r="Y212" s="96"/>
      <c r="Z212" s="96"/>
      <c r="AA212" s="96"/>
      <c r="AB212" s="96"/>
      <c r="AC212" s="96" cm="1">
        <f t="array" ref="AC212">IF(AC$8="",0,_xll.GetData(AC$8,$AQ212))</f>
        <v>0</v>
      </c>
      <c r="AD212" s="96" cm="1">
        <f t="array" ref="AD212">IF(AD$8="",0,_xll.GetData(AD$8,$AQ212))</f>
        <v>0</v>
      </c>
      <c r="AE212" s="96" cm="1">
        <f t="array" ref="AE212">IF(AE$8="",0,_xll.GetData(AE$8,$AQ212))</f>
        <v>0</v>
      </c>
      <c r="AF212" s="96" cm="1">
        <f t="array" ref="AF212">IF(AF$8="",0,_xll.GetData(AF$8,$AQ212))</f>
        <v>0</v>
      </c>
      <c r="AG212" s="96" cm="1">
        <f t="array" ref="AG212">IF(AG$8="",0,_xll.GetData(AG$8,$AQ212))</f>
        <v>0</v>
      </c>
      <c r="AH212" s="96" cm="1">
        <f t="array" ref="AH212">IF(AH$8="",0,_xll.GetData(AH$8,$AQ212))</f>
        <v>0</v>
      </c>
      <c r="AI212" s="96" cm="1">
        <f t="array" ref="AI212">IF(AI$8="",0,_xll.GetData(AI$8,$AQ212))</f>
        <v>0</v>
      </c>
      <c r="AJ212" s="96" cm="1">
        <f t="array" ref="AJ212">IF(AJ$8="",0,_xll.GetData(AJ$8,$AQ212))</f>
        <v>0</v>
      </c>
      <c r="AK212" s="96" cm="1">
        <f t="array" ref="AK212">IF(AK$8="",0,_xll.GetData(AK$8,$AQ212))</f>
        <v>0</v>
      </c>
      <c r="AL212" s="96" cm="1">
        <f t="array" ref="AL212">IF(AL$8="",0,_xll.GetData(AL$8,$AQ212))</f>
        <v>0</v>
      </c>
      <c r="AM212" s="96" cm="1">
        <f t="array" ref="AM212">IF(AM$8="",0,_xll.GetData(AM$8,$AQ212))</f>
        <v>0</v>
      </c>
      <c r="AN212" s="96" cm="1">
        <f t="array" ref="AN212">IF(AN$8="",0,_xll.GetData(AN$8,$AQ212))</f>
        <v>0</v>
      </c>
      <c r="AO212" s="69"/>
      <c r="AP212" s="111">
        <f>AP213</f>
        <v>55</v>
      </c>
      <c r="AQ212" s="111" t="str">
        <f>"Dept="&amp;AU212&amp;" And Acct="&amp;AV212</f>
        <v>Dept=0 And Acct=69700</v>
      </c>
      <c r="AR212" s="167"/>
      <c r="AS212" s="167" t="str">
        <f>IF(OR(AU212=0,AV212=0),"NoSave","[Save]")</f>
        <v>NoSave</v>
      </c>
      <c r="AT212" s="167"/>
      <c r="AU212" s="111">
        <f>AU213</f>
        <v>0</v>
      </c>
      <c r="AV212" s="111">
        <f>AV213</f>
        <v>69700</v>
      </c>
      <c r="AW212" s="111">
        <v>1</v>
      </c>
      <c r="AX212" s="281">
        <f>IF(K$20="CYA",0,K212)</f>
        <v>0</v>
      </c>
      <c r="AY212" s="281">
        <f t="shared" si="555"/>
        <v>0</v>
      </c>
      <c r="AZ212" s="281">
        <f t="shared" si="556"/>
        <v>0</v>
      </c>
      <c r="BA212" s="281">
        <f t="shared" si="557"/>
        <v>0</v>
      </c>
      <c r="BB212" s="281">
        <f t="shared" si="558"/>
        <v>0</v>
      </c>
      <c r="BC212" s="281">
        <f t="shared" si="559"/>
        <v>0</v>
      </c>
      <c r="BD212" s="281">
        <f t="shared" si="560"/>
        <v>0</v>
      </c>
      <c r="BE212" s="281">
        <f t="shared" si="561"/>
        <v>0</v>
      </c>
      <c r="BF212" s="281">
        <f t="shared" si="562"/>
        <v>0</v>
      </c>
      <c r="BG212" s="281">
        <f t="shared" si="563"/>
        <v>0</v>
      </c>
      <c r="BH212" s="281">
        <f t="shared" si="564"/>
        <v>0</v>
      </c>
      <c r="BI212" s="281">
        <f t="shared" si="565"/>
        <v>0</v>
      </c>
      <c r="BJ212" s="89">
        <f>CB212</f>
        <v>0</v>
      </c>
      <c r="BK212" s="96">
        <v>0</v>
      </c>
    </row>
    <row r="213" spans="1:63" ht="17.399999999999999" thickTop="1">
      <c r="A213" s="105"/>
      <c r="B213" s="114" t="str">
        <f>C210</f>
        <v>E_Insurance</v>
      </c>
      <c r="C213" s="112" t="s">
        <v>278</v>
      </c>
      <c r="D213" s="110"/>
      <c r="E213" s="112"/>
      <c r="F213" s="74"/>
      <c r="G213" s="100" t="str">
        <f>"   Total "&amp;G210</f>
        <v xml:space="preserve">   Total Insurance</v>
      </c>
      <c r="H213" s="100"/>
      <c r="I213" s="100"/>
      <c r="J213" s="116"/>
      <c r="K213" s="116">
        <f>IF(K$20="CYA",K210,K210*(1+K211)+K212)</f>
        <v>525977.99000000011</v>
      </c>
      <c r="L213" s="116">
        <f>IF(L$20="CYA",L210,L210*(1+L211)+L212)</f>
        <v>1044555.2599999999</v>
      </c>
      <c r="M213" s="116">
        <f>IF(M$20="CYA",M210,M210*(1+M211)+M212)</f>
        <v>819043.96000000008</v>
      </c>
      <c r="N213" s="116">
        <f>IF(N$20="CYA",N210,N210*(1+N211)+N212)</f>
        <v>826106.67</v>
      </c>
      <c r="O213" s="116">
        <f>IF(O$20="CYA",O210,O210*(1+O211)+O212)</f>
        <v>877329.65000000014</v>
      </c>
      <c r="P213" s="116">
        <f>IF(P$20="CYA",P210,P210*(1+P211)+P212)</f>
        <v>737129.97465875</v>
      </c>
      <c r="Q213" s="116">
        <f>IF(Q$20="CYA",Q210,Q210*(1+Q211)+Q212)</f>
        <v>736918.95799208316</v>
      </c>
      <c r="R213" s="116">
        <f>IF(R$20="CYA",R210,R210*(1+R211)+R212)</f>
        <v>739158.25799208321</v>
      </c>
      <c r="S213" s="116">
        <f>IF(S$20="CYA",S210,S210*(1+S211)+S212)</f>
        <v>752871.98857939523</v>
      </c>
      <c r="T213" s="116">
        <f>IF(T$20="CYA",T210,T210*(1+T211)+T212)</f>
        <v>755216.61357939523</v>
      </c>
      <c r="U213" s="116">
        <f>IF(U$20="CYA",U210,U210*(1+U211)+U212)</f>
        <v>755215.61357939511</v>
      </c>
      <c r="V213" s="116">
        <f>IF(V$20="CYA",V210,V210*(1+V211)+V212)</f>
        <v>755216.61357939523</v>
      </c>
      <c r="W213" s="116">
        <f>SUM(K213:V213)</f>
        <v>9324741.5499604978</v>
      </c>
      <c r="X213" s="116"/>
      <c r="Y213" s="116">
        <f>SUM(Y210:Y212)</f>
        <v>8778803.9367392585</v>
      </c>
      <c r="Z213" s="116">
        <f>Y213-W213</f>
        <v>-545937.6132212393</v>
      </c>
      <c r="AA213" s="102">
        <f>IF(Y213=0,0,Z213/Y213)</f>
        <v>-6.2188154235509538E-2</v>
      </c>
      <c r="AB213" s="116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67"/>
      <c r="AP213" s="111">
        <f>ROW(Control!D55)</f>
        <v>55</v>
      </c>
      <c r="AQ213" s="111"/>
      <c r="AR213" s="167"/>
      <c r="AS213" s="167"/>
      <c r="AT213" s="167" t="str">
        <f>IF(OR(AU213=0,AV213=0),"NoSave","[Save]")</f>
        <v>NoSave</v>
      </c>
      <c r="AU213" s="111" cm="1">
        <f t="array" ref="AU213">INDEX(Control!G$1:G$9997,$AP213)</f>
        <v>0</v>
      </c>
      <c r="AV213" s="111" cm="1">
        <f t="array" ref="AV213">INDEX(Control!I$1:I$9997,$AP213)</f>
        <v>69700</v>
      </c>
      <c r="AW213" s="111">
        <v>1</v>
      </c>
      <c r="AX213" s="281">
        <f>IF(K$20="CYA",0,K213-K210)</f>
        <v>0</v>
      </c>
      <c r="AY213" s="281">
        <f t="shared" ref="AY213" si="566">IF(L$20="CYA",0,L213-L210)</f>
        <v>0</v>
      </c>
      <c r="AZ213" s="281">
        <f t="shared" ref="AZ213" si="567">IF(M$20="CYA",0,M213-M210)</f>
        <v>0</v>
      </c>
      <c r="BA213" s="281">
        <f t="shared" ref="BA213" si="568">IF(N$20="CYA",0,N213-N210)</f>
        <v>0</v>
      </c>
      <c r="BB213" s="281">
        <f t="shared" ref="BB213" si="569">IF(O$20="CYA",0,O213-O210)</f>
        <v>0</v>
      </c>
      <c r="BC213" s="281">
        <f t="shared" ref="BC213" si="570">IF(P$20="CYA",0,P213-P210)</f>
        <v>0</v>
      </c>
      <c r="BD213" s="281">
        <f t="shared" ref="BD213" si="571">IF(Q$20="CYA",0,Q213-Q210)</f>
        <v>0</v>
      </c>
      <c r="BE213" s="281">
        <f t="shared" ref="BE213" si="572">IF(R$20="CYA",0,R213-R210)</f>
        <v>0</v>
      </c>
      <c r="BF213" s="281">
        <f t="shared" ref="BF213" si="573">IF(S$20="CYA",0,S213-S210)</f>
        <v>0</v>
      </c>
      <c r="BG213" s="281">
        <f t="shared" ref="BG213" si="574">IF(T$20="CYA",0,T213-T210)</f>
        <v>0</v>
      </c>
      <c r="BH213" s="281">
        <f t="shared" ref="BH213" si="575">IF(U$20="CYA",0,U213-U210)</f>
        <v>0</v>
      </c>
      <c r="BI213" s="281">
        <f t="shared" ref="BI213" si="576">IF(V$20="CYA",0,V213-V210)</f>
        <v>0</v>
      </c>
    </row>
    <row r="214" spans="1:63" ht="16.8">
      <c r="A214" s="105"/>
      <c r="B214" s="106"/>
      <c r="C214" s="112"/>
      <c r="D214" s="110"/>
      <c r="E214" s="112"/>
      <c r="F214" s="74"/>
      <c r="G214" s="95"/>
      <c r="H214" s="95"/>
      <c r="I214" s="95"/>
      <c r="J214" s="67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67"/>
      <c r="AR214" s="167"/>
      <c r="AS214" s="167"/>
      <c r="AT214" s="167"/>
      <c r="AU214" s="111"/>
      <c r="AV214" s="111"/>
      <c r="AW214" s="111"/>
      <c r="AX214" s="111"/>
      <c r="AY214" s="111"/>
      <c r="AZ214" s="111"/>
      <c r="BA214" s="111"/>
      <c r="BB214" s="111"/>
      <c r="BC214" s="111"/>
      <c r="BD214" s="111"/>
      <c r="BE214" s="111"/>
      <c r="BF214" s="111"/>
      <c r="BG214" s="111"/>
      <c r="BH214" s="111"/>
      <c r="BI214" s="111"/>
    </row>
    <row r="215" spans="1:63" ht="17.399999999999999" thickBot="1">
      <c r="A215" s="105" t="str">
        <f>C215</f>
        <v>E_Interest</v>
      </c>
      <c r="B215" s="106"/>
      <c r="C215" s="112" t="s">
        <v>351</v>
      </c>
      <c r="D215" s="110"/>
      <c r="E215" s="112"/>
      <c r="F215" s="74"/>
      <c r="G215" s="95" t="s">
        <v>245</v>
      </c>
      <c r="H215" s="95"/>
      <c r="I215" s="95"/>
      <c r="J215" s="67"/>
      <c r="K215" s="96">
        <v>403471.67</v>
      </c>
      <c r="L215" s="96">
        <v>403069.39</v>
      </c>
      <c r="M215" s="96">
        <v>408624.61</v>
      </c>
      <c r="N215" s="96">
        <v>404230.56</v>
      </c>
      <c r="O215" s="96">
        <v>384067.64999999997</v>
      </c>
      <c r="P215" s="96">
        <v>405930.5900653596</v>
      </c>
      <c r="Q215" s="96">
        <v>405930.5900653596</v>
      </c>
      <c r="R215" s="96">
        <v>379741.51973856165</v>
      </c>
      <c r="S215" s="96">
        <v>405930.5900653596</v>
      </c>
      <c r="T215" s="96">
        <v>392836.0549019606</v>
      </c>
      <c r="U215" s="96">
        <v>405930.5900653596</v>
      </c>
      <c r="V215" s="96">
        <v>392836.0549019606</v>
      </c>
      <c r="W215" s="96">
        <f>SUM(K215:V215)</f>
        <v>4792599.8698039213</v>
      </c>
      <c r="X215" s="96"/>
      <c r="Y215" s="96">
        <v>5724904.680047824</v>
      </c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R215" s="167"/>
      <c r="AS215" s="167"/>
      <c r="AT215" s="167"/>
      <c r="AU215" s="111"/>
      <c r="AV215" s="111"/>
      <c r="AW215" s="111">
        <v>1</v>
      </c>
      <c r="AX215" s="111"/>
      <c r="AY215" s="111"/>
      <c r="AZ215" s="111"/>
      <c r="BA215" s="111"/>
      <c r="BB215" s="111"/>
      <c r="BC215" s="111"/>
      <c r="BD215" s="111"/>
      <c r="BE215" s="111"/>
      <c r="BF215" s="111"/>
      <c r="BG215" s="111"/>
      <c r="BH215" s="111"/>
      <c r="BI215" s="111"/>
    </row>
    <row r="216" spans="1:63" ht="18" thickTop="1" thickBot="1">
      <c r="A216" s="105"/>
      <c r="B216" s="106"/>
      <c r="C216" s="112" t="str">
        <f>"ACCT.FSDetail='"&amp;C215&amp;"'"</f>
        <v>ACCT.FSDetail='E_Interest'</v>
      </c>
      <c r="D216" s="110" t="s">
        <v>411</v>
      </c>
      <c r="E216" s="112"/>
      <c r="F216" s="58"/>
      <c r="G216" s="95" t="s">
        <v>328</v>
      </c>
      <c r="H216" s="95"/>
      <c r="I216" s="95"/>
      <c r="J216" s="46"/>
      <c r="K216" s="86">
        <v>0</v>
      </c>
      <c r="L216" s="86">
        <v>0</v>
      </c>
      <c r="M216" s="86">
        <v>0</v>
      </c>
      <c r="N216" s="86">
        <v>0</v>
      </c>
      <c r="O216" s="86">
        <v>0</v>
      </c>
      <c r="P216" s="86">
        <v>0</v>
      </c>
      <c r="Q216" s="86">
        <v>0</v>
      </c>
      <c r="R216" s="86">
        <v>0</v>
      </c>
      <c r="S216" s="90">
        <f t="shared" ref="S216:V217" si="577">AK216</f>
        <v>0</v>
      </c>
      <c r="T216" s="90">
        <f t="shared" si="577"/>
        <v>0</v>
      </c>
      <c r="U216" s="90">
        <f t="shared" si="577"/>
        <v>0</v>
      </c>
      <c r="V216" s="90">
        <f t="shared" si="577"/>
        <v>0</v>
      </c>
      <c r="W216" s="97">
        <f>IF(W218=0,0,1-(SUM(W217,W215)/W218))</f>
        <v>0</v>
      </c>
      <c r="X216" s="97"/>
      <c r="Y216" s="97"/>
      <c r="Z216" s="97"/>
      <c r="AA216" s="97"/>
      <c r="AB216" s="97"/>
      <c r="AC216" s="97" cm="1">
        <f t="array" ref="AC216">IF(AC$7="",0,_xll.GetData(AC$7,$AQ216))</f>
        <v>0</v>
      </c>
      <c r="AD216" s="97" cm="1">
        <f t="array" ref="AD216">IF(AD$7="",0,_xll.GetData(AD$7,$AQ216))</f>
        <v>0</v>
      </c>
      <c r="AE216" s="97" cm="1">
        <f t="array" ref="AE216">IF(AE$7="",0,_xll.GetData(AE$7,$AQ216))</f>
        <v>0</v>
      </c>
      <c r="AF216" s="97" cm="1">
        <f t="array" ref="AF216">IF(AF$7="",0,_xll.GetData(AF$7,$AQ216))</f>
        <v>0</v>
      </c>
      <c r="AG216" s="97" cm="1">
        <f t="array" ref="AG216">IF(AG$7="",0,_xll.GetData(AG$7,$AQ216))</f>
        <v>0</v>
      </c>
      <c r="AH216" s="97" cm="1">
        <f t="array" ref="AH216">IF(AH$7="",0,_xll.GetData(AH$7,$AQ216))</f>
        <v>0</v>
      </c>
      <c r="AI216" s="97" cm="1">
        <f t="array" ref="AI216">IF(AI$7="",0,_xll.GetData(AI$7,$AQ216))</f>
        <v>0</v>
      </c>
      <c r="AJ216" s="97" cm="1">
        <f t="array" ref="AJ216">IF(AJ$7="",0,_xll.GetData(AJ$7,$AQ216))</f>
        <v>0</v>
      </c>
      <c r="AK216" s="97" cm="1">
        <f t="array" ref="AK216">IF(AK$7="",0,_xll.GetData(AK$7,$AQ216))</f>
        <v>0</v>
      </c>
      <c r="AL216" s="97" cm="1">
        <f t="array" ref="AL216">IF(AL$7="",0,_xll.GetData(AL$7,$AQ216))</f>
        <v>0</v>
      </c>
      <c r="AM216" s="97" cm="1">
        <f t="array" ref="AM216">IF(AM$7="",0,_xll.GetData(AM$7,$AQ216))</f>
        <v>0</v>
      </c>
      <c r="AN216" s="97" cm="1">
        <f t="array" ref="AN216">IF(AN$7="",0,_xll.GetData(AN$7,$AQ216))</f>
        <v>0</v>
      </c>
      <c r="AO216" s="46"/>
      <c r="AP216" s="111">
        <f>AP218</f>
        <v>56</v>
      </c>
      <c r="AQ216" s="111" t="str">
        <f>"Dept="&amp;AU216&amp;" And Acct="&amp;AV216</f>
        <v>Dept=0 And Acct=72130</v>
      </c>
      <c r="AR216" s="167" t="str">
        <f>IF(OR(AU216=0,AV216=0),"NoSave","[Save]")</f>
        <v>NoSave</v>
      </c>
      <c r="AS216" s="167"/>
      <c r="AT216" s="167"/>
      <c r="AU216" s="111">
        <f>AU218</f>
        <v>0</v>
      </c>
      <c r="AV216" s="111">
        <f>AV218</f>
        <v>72130</v>
      </c>
      <c r="AW216" s="111">
        <v>1</v>
      </c>
      <c r="AX216" s="280">
        <f>IF(K$20="CYA",0,K216)</f>
        <v>0</v>
      </c>
      <c r="AY216" s="280">
        <f t="shared" ref="AY216:AY217" si="578">IF(L$20="CYA",0,L216)</f>
        <v>0</v>
      </c>
      <c r="AZ216" s="280">
        <f t="shared" ref="AZ216:AZ217" si="579">IF(M$20="CYA",0,M216)</f>
        <v>0</v>
      </c>
      <c r="BA216" s="280">
        <f t="shared" ref="BA216:BA217" si="580">IF(N$20="CYA",0,N216)</f>
        <v>0</v>
      </c>
      <c r="BB216" s="280">
        <f t="shared" ref="BB216:BB217" si="581">IF(O$20="CYA",0,O216)</f>
        <v>0</v>
      </c>
      <c r="BC216" s="280">
        <f t="shared" ref="BC216:BC217" si="582">IF(P$20="CYA",0,P216)</f>
        <v>0</v>
      </c>
      <c r="BD216" s="280">
        <f t="shared" ref="BD216:BD217" si="583">IF(Q$20="CYA",0,Q216)</f>
        <v>0</v>
      </c>
      <c r="BE216" s="280">
        <f t="shared" ref="BE216:BE217" si="584">IF(R$20="CYA",0,R216)</f>
        <v>0</v>
      </c>
      <c r="BF216" s="280">
        <f t="shared" ref="BF216:BF217" si="585">IF(S$20="CYA",0,S216)</f>
        <v>0</v>
      </c>
      <c r="BG216" s="280">
        <f t="shared" ref="BG216:BG217" si="586">IF(T$20="CYA",0,T216)</f>
        <v>0</v>
      </c>
      <c r="BH216" s="280">
        <f t="shared" ref="BH216:BH217" si="587">IF(U$20="CYA",0,U216)</f>
        <v>0</v>
      </c>
      <c r="BI216" s="280">
        <f t="shared" ref="BI216:BI217" si="588">IF(V$20="CYA",0,V216)</f>
        <v>0</v>
      </c>
      <c r="BJ216" s="90">
        <f>CB216</f>
        <v>0</v>
      </c>
      <c r="BK216" s="86">
        <v>0</v>
      </c>
    </row>
    <row r="217" spans="1:63" ht="18" thickTop="1" thickBot="1">
      <c r="A217" s="113"/>
      <c r="B217" s="106"/>
      <c r="C217" s="112" t="str">
        <f>C216</f>
        <v>ACCT.FSDetail='E_Interest'</v>
      </c>
      <c r="D217" s="110" t="s">
        <v>411</v>
      </c>
      <c r="E217" s="112"/>
      <c r="F217" s="58"/>
      <c r="G217" s="95" t="s">
        <v>329</v>
      </c>
      <c r="H217" s="95"/>
      <c r="I217" s="95"/>
      <c r="J217" s="67"/>
      <c r="K217" s="96">
        <v>0</v>
      </c>
      <c r="L217" s="96">
        <v>0</v>
      </c>
      <c r="M217" s="96">
        <v>0</v>
      </c>
      <c r="N217" s="96">
        <v>0</v>
      </c>
      <c r="O217" s="96">
        <v>0</v>
      </c>
      <c r="P217" s="96">
        <v>0</v>
      </c>
      <c r="Q217" s="96">
        <v>0</v>
      </c>
      <c r="R217" s="96">
        <v>0</v>
      </c>
      <c r="S217" s="89">
        <f t="shared" si="577"/>
        <v>0</v>
      </c>
      <c r="T217" s="89">
        <f t="shared" si="577"/>
        <v>0</v>
      </c>
      <c r="U217" s="89">
        <f t="shared" si="577"/>
        <v>0</v>
      </c>
      <c r="V217" s="89">
        <f t="shared" si="577"/>
        <v>0</v>
      </c>
      <c r="W217" s="96">
        <f>SUM(K217:V217)</f>
        <v>0</v>
      </c>
      <c r="X217" s="96"/>
      <c r="Y217" s="96"/>
      <c r="Z217" s="96"/>
      <c r="AA217" s="96"/>
      <c r="AB217" s="96"/>
      <c r="AC217" s="96" cm="1">
        <f t="array" ref="AC217">IF(AC$8="",0,_xll.GetData(AC$8,$AQ217))</f>
        <v>0</v>
      </c>
      <c r="AD217" s="96" cm="1">
        <f t="array" ref="AD217">IF(AD$8="",0,_xll.GetData(AD$8,$AQ217))</f>
        <v>0</v>
      </c>
      <c r="AE217" s="96" cm="1">
        <f t="array" ref="AE217">IF(AE$8="",0,_xll.GetData(AE$8,$AQ217))</f>
        <v>0</v>
      </c>
      <c r="AF217" s="96" cm="1">
        <f t="array" ref="AF217">IF(AF$8="",0,_xll.GetData(AF$8,$AQ217))</f>
        <v>0</v>
      </c>
      <c r="AG217" s="96" cm="1">
        <f t="array" ref="AG217">IF(AG$8="",0,_xll.GetData(AG$8,$AQ217))</f>
        <v>0</v>
      </c>
      <c r="AH217" s="96" cm="1">
        <f t="array" ref="AH217">IF(AH$8="",0,_xll.GetData(AH$8,$AQ217))</f>
        <v>0</v>
      </c>
      <c r="AI217" s="96" cm="1">
        <f t="array" ref="AI217">IF(AI$8="",0,_xll.GetData(AI$8,$AQ217))</f>
        <v>0</v>
      </c>
      <c r="AJ217" s="96" cm="1">
        <f t="array" ref="AJ217">IF(AJ$8="",0,_xll.GetData(AJ$8,$AQ217))</f>
        <v>0</v>
      </c>
      <c r="AK217" s="96" cm="1">
        <f t="array" ref="AK217">IF(AK$8="",0,_xll.GetData(AK$8,$AQ217))</f>
        <v>0</v>
      </c>
      <c r="AL217" s="96" cm="1">
        <f t="array" ref="AL217">IF(AL$8="",0,_xll.GetData(AL$8,$AQ217))</f>
        <v>0</v>
      </c>
      <c r="AM217" s="96" cm="1">
        <f t="array" ref="AM217">IF(AM$8="",0,_xll.GetData(AM$8,$AQ217))</f>
        <v>0</v>
      </c>
      <c r="AN217" s="96" cm="1">
        <f t="array" ref="AN217">IF(AN$8="",0,_xll.GetData(AN$8,$AQ217))</f>
        <v>0</v>
      </c>
      <c r="AO217" s="69"/>
      <c r="AP217" s="111">
        <f>AP218</f>
        <v>56</v>
      </c>
      <c r="AQ217" s="111" t="str">
        <f>"Dept="&amp;AU217&amp;" And Acct="&amp;AV217</f>
        <v>Dept=0 And Acct=72130</v>
      </c>
      <c r="AR217" s="167"/>
      <c r="AS217" s="167" t="str">
        <f>IF(OR(AU217=0,AV217=0),"NoSave","[Save]")</f>
        <v>NoSave</v>
      </c>
      <c r="AT217" s="167"/>
      <c r="AU217" s="111">
        <f>AU218</f>
        <v>0</v>
      </c>
      <c r="AV217" s="111">
        <f>AV218</f>
        <v>72130</v>
      </c>
      <c r="AW217" s="111">
        <v>1</v>
      </c>
      <c r="AX217" s="281">
        <f>IF(K$20="CYA",0,K217)</f>
        <v>0</v>
      </c>
      <c r="AY217" s="281">
        <f t="shared" si="578"/>
        <v>0</v>
      </c>
      <c r="AZ217" s="281">
        <f t="shared" si="579"/>
        <v>0</v>
      </c>
      <c r="BA217" s="281">
        <f t="shared" si="580"/>
        <v>0</v>
      </c>
      <c r="BB217" s="281">
        <f t="shared" si="581"/>
        <v>0</v>
      </c>
      <c r="BC217" s="281">
        <f t="shared" si="582"/>
        <v>0</v>
      </c>
      <c r="BD217" s="281">
        <f t="shared" si="583"/>
        <v>0</v>
      </c>
      <c r="BE217" s="281">
        <f t="shared" si="584"/>
        <v>0</v>
      </c>
      <c r="BF217" s="281">
        <f t="shared" si="585"/>
        <v>0</v>
      </c>
      <c r="BG217" s="281">
        <f t="shared" si="586"/>
        <v>0</v>
      </c>
      <c r="BH217" s="281">
        <f t="shared" si="587"/>
        <v>0</v>
      </c>
      <c r="BI217" s="281">
        <f t="shared" si="588"/>
        <v>0</v>
      </c>
      <c r="BJ217" s="89">
        <f>CB217</f>
        <v>0</v>
      </c>
      <c r="BK217" s="96">
        <v>0</v>
      </c>
    </row>
    <row r="218" spans="1:63" ht="17.399999999999999" thickTop="1">
      <c r="A218" s="105"/>
      <c r="B218" s="114" t="str">
        <f>C215</f>
        <v>E_Interest</v>
      </c>
      <c r="C218" s="112" t="s">
        <v>278</v>
      </c>
      <c r="D218" s="110"/>
      <c r="E218" s="112"/>
      <c r="F218" s="74"/>
      <c r="G218" s="100" t="str">
        <f>"   Total "&amp;G215</f>
        <v xml:space="preserve">   Total Interest</v>
      </c>
      <c r="H218" s="100"/>
      <c r="I218" s="100"/>
      <c r="J218" s="116"/>
      <c r="K218" s="116">
        <f>IF(K$20="CYA",K215,K215*(1+K216)+K217)</f>
        <v>403471.67</v>
      </c>
      <c r="L218" s="116">
        <f>IF(L$20="CYA",L215,L215*(1+L216)+L217)</f>
        <v>403069.39</v>
      </c>
      <c r="M218" s="116">
        <f>IF(M$20="CYA",M215,M215*(1+M216)+M217)</f>
        <v>408624.61</v>
      </c>
      <c r="N218" s="116">
        <f>IF(N$20="CYA",N215,N215*(1+N216)+N217)</f>
        <v>404230.56</v>
      </c>
      <c r="O218" s="116">
        <f>IF(O$20="CYA",O215,O215*(1+O216)+O217)</f>
        <v>384067.64999999997</v>
      </c>
      <c r="P218" s="116">
        <f>IF(P$20="CYA",P215,P215*(1+P216)+P217)</f>
        <v>405930.5900653596</v>
      </c>
      <c r="Q218" s="116">
        <f>IF(Q$20="CYA",Q215,Q215*(1+Q216)+Q217)</f>
        <v>405930.5900653596</v>
      </c>
      <c r="R218" s="116">
        <f>IF(R$20="CYA",R215,R215*(1+R216)+R217)</f>
        <v>379741.51973856165</v>
      </c>
      <c r="S218" s="116">
        <f>IF(S$20="CYA",S215,S215*(1+S216)+S217)</f>
        <v>405930.5900653596</v>
      </c>
      <c r="T218" s="116">
        <f>IF(T$20="CYA",T215,T215*(1+T216)+T217)</f>
        <v>392836.0549019606</v>
      </c>
      <c r="U218" s="116">
        <f>IF(U$20="CYA",U215,U215*(1+U216)+U217)</f>
        <v>405930.5900653596</v>
      </c>
      <c r="V218" s="116">
        <f>IF(V$20="CYA",V215,V215*(1+V216)+V217)</f>
        <v>392836.0549019606</v>
      </c>
      <c r="W218" s="116">
        <f>SUM(K218:V218)</f>
        <v>4792599.8698039213</v>
      </c>
      <c r="X218" s="116"/>
      <c r="Y218" s="116">
        <f>SUM(Y215:Y217)</f>
        <v>5724904.680047824</v>
      </c>
      <c r="Z218" s="116">
        <f>Y218-W218</f>
        <v>932304.81024390273</v>
      </c>
      <c r="AA218" s="102">
        <f>IF(Y218=0,0,Z218/Y218)</f>
        <v>0.16285071321678574</v>
      </c>
      <c r="AB218" s="116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67"/>
      <c r="AP218" s="111">
        <f>ROW(Control!D56)</f>
        <v>56</v>
      </c>
      <c r="AQ218" s="111"/>
      <c r="AR218" s="167"/>
      <c r="AS218" s="167"/>
      <c r="AT218" s="167" t="str">
        <f>IF(OR(AU218=0,AV218=0),"NoSave","[Save]")</f>
        <v>NoSave</v>
      </c>
      <c r="AU218" s="111" cm="1">
        <f t="array" ref="AU218">INDEX(Control!G$1:G$9997,$AP218)</f>
        <v>0</v>
      </c>
      <c r="AV218" s="111" cm="1">
        <f t="array" ref="AV218">INDEX(Control!I$1:I$9997,$AP218)</f>
        <v>72130</v>
      </c>
      <c r="AW218" s="111">
        <v>1</v>
      </c>
      <c r="AX218" s="281">
        <f>IF(K$20="CYA",0,K218-K215)</f>
        <v>0</v>
      </c>
      <c r="AY218" s="281">
        <f t="shared" ref="AY218" si="589">IF(L$20="CYA",0,L218-L215)</f>
        <v>0</v>
      </c>
      <c r="AZ218" s="281">
        <f t="shared" ref="AZ218" si="590">IF(M$20="CYA",0,M218-M215)</f>
        <v>0</v>
      </c>
      <c r="BA218" s="281">
        <f t="shared" ref="BA218" si="591">IF(N$20="CYA",0,N218-N215)</f>
        <v>0</v>
      </c>
      <c r="BB218" s="281">
        <f t="shared" ref="BB218" si="592">IF(O$20="CYA",0,O218-O215)</f>
        <v>0</v>
      </c>
      <c r="BC218" s="281">
        <f t="shared" ref="BC218" si="593">IF(P$20="CYA",0,P218-P215)</f>
        <v>0</v>
      </c>
      <c r="BD218" s="281">
        <f t="shared" ref="BD218" si="594">IF(Q$20="CYA",0,Q218-Q215)</f>
        <v>0</v>
      </c>
      <c r="BE218" s="281">
        <f t="shared" ref="BE218" si="595">IF(R$20="CYA",0,R218-R215)</f>
        <v>0</v>
      </c>
      <c r="BF218" s="281">
        <f t="shared" ref="BF218" si="596">IF(S$20="CYA",0,S218-S215)</f>
        <v>0</v>
      </c>
      <c r="BG218" s="281">
        <f t="shared" ref="BG218" si="597">IF(T$20="CYA",0,T218-T215)</f>
        <v>0</v>
      </c>
      <c r="BH218" s="281">
        <f t="shared" ref="BH218" si="598">IF(U$20="CYA",0,U218-U215)</f>
        <v>0</v>
      </c>
      <c r="BI218" s="281">
        <f t="shared" ref="BI218" si="599">IF(V$20="CYA",0,V218-V215)</f>
        <v>0</v>
      </c>
    </row>
    <row r="219" spans="1:63" ht="16.8">
      <c r="A219" s="105"/>
      <c r="B219" s="106"/>
      <c r="C219" s="112"/>
      <c r="D219" s="110"/>
      <c r="E219" s="112"/>
      <c r="F219" s="74"/>
      <c r="G219" s="95"/>
      <c r="H219" s="95"/>
      <c r="I219" s="95"/>
      <c r="J219" s="67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67"/>
      <c r="AR219" s="167"/>
      <c r="AS219" s="167"/>
      <c r="AT219" s="167"/>
      <c r="AU219" s="111"/>
      <c r="AV219" s="111"/>
      <c r="AW219" s="111"/>
      <c r="AX219" s="111"/>
      <c r="AY219" s="111"/>
      <c r="AZ219" s="111"/>
      <c r="BA219" s="111"/>
      <c r="BB219" s="111"/>
      <c r="BC219" s="111"/>
      <c r="BD219" s="111"/>
      <c r="BE219" s="111"/>
      <c r="BF219" s="111"/>
      <c r="BG219" s="111"/>
      <c r="BH219" s="111"/>
      <c r="BI219" s="111"/>
    </row>
    <row r="220" spans="1:63" ht="17.399999999999999" thickBot="1">
      <c r="A220" s="105" t="str">
        <f>C220</f>
        <v>E_BadDebt</v>
      </c>
      <c r="B220" s="106"/>
      <c r="C220" s="112" t="s">
        <v>352</v>
      </c>
      <c r="D220" s="110"/>
      <c r="E220" s="112"/>
      <c r="F220" s="74"/>
      <c r="G220" s="95" t="s">
        <v>226</v>
      </c>
      <c r="H220" s="95"/>
      <c r="I220" s="95"/>
      <c r="J220" s="67"/>
      <c r="K220" s="96">
        <v>0</v>
      </c>
      <c r="L220" s="96">
        <v>0</v>
      </c>
      <c r="M220" s="96">
        <v>0</v>
      </c>
      <c r="N220" s="96">
        <v>0</v>
      </c>
      <c r="O220" s="96">
        <v>0</v>
      </c>
      <c r="P220" s="96">
        <v>0</v>
      </c>
      <c r="Q220" s="96">
        <v>0</v>
      </c>
      <c r="R220" s="96">
        <v>0</v>
      </c>
      <c r="S220" s="96">
        <v>0</v>
      </c>
      <c r="T220" s="96">
        <v>0</v>
      </c>
      <c r="U220" s="96">
        <v>0</v>
      </c>
      <c r="V220" s="96">
        <v>0</v>
      </c>
      <c r="W220" s="96">
        <f>SUM(K220:V220)</f>
        <v>0</v>
      </c>
      <c r="X220" s="96"/>
      <c r="Y220" s="96">
        <v>0</v>
      </c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R220" s="167"/>
      <c r="AS220" s="167"/>
      <c r="AT220" s="167"/>
      <c r="AU220" s="111"/>
      <c r="AV220" s="111"/>
      <c r="AW220" s="111">
        <v>1</v>
      </c>
      <c r="AX220" s="111"/>
      <c r="AY220" s="111"/>
      <c r="AZ220" s="111"/>
      <c r="BA220" s="111"/>
      <c r="BB220" s="111"/>
      <c r="BC220" s="111"/>
      <c r="BD220" s="111"/>
      <c r="BE220" s="111"/>
      <c r="BF220" s="111"/>
      <c r="BG220" s="111"/>
      <c r="BH220" s="111"/>
      <c r="BI220" s="111"/>
    </row>
    <row r="221" spans="1:63" ht="18" thickTop="1" thickBot="1">
      <c r="A221" s="105"/>
      <c r="B221" s="106"/>
      <c r="C221" s="112" t="str">
        <f>"ACCT.FSDetail='"&amp;C220&amp;"'"</f>
        <v>ACCT.FSDetail='E_BadDebt'</v>
      </c>
      <c r="D221" s="110" t="s">
        <v>411</v>
      </c>
      <c r="E221" s="112"/>
      <c r="F221" s="58"/>
      <c r="G221" s="95" t="s">
        <v>328</v>
      </c>
      <c r="H221" s="95"/>
      <c r="I221" s="95"/>
      <c r="J221" s="46"/>
      <c r="K221" s="86">
        <v>0</v>
      </c>
      <c r="L221" s="86">
        <v>0</v>
      </c>
      <c r="M221" s="86">
        <v>0</v>
      </c>
      <c r="N221" s="86">
        <v>0</v>
      </c>
      <c r="O221" s="86">
        <v>0</v>
      </c>
      <c r="P221" s="86">
        <v>0</v>
      </c>
      <c r="Q221" s="86">
        <v>0</v>
      </c>
      <c r="R221" s="86">
        <v>0</v>
      </c>
      <c r="S221" s="90">
        <f t="shared" ref="S221:V222" si="600">AK221</f>
        <v>0</v>
      </c>
      <c r="T221" s="90">
        <f t="shared" si="600"/>
        <v>0</v>
      </c>
      <c r="U221" s="90">
        <f t="shared" si="600"/>
        <v>0</v>
      </c>
      <c r="V221" s="90">
        <f t="shared" si="600"/>
        <v>0</v>
      </c>
      <c r="W221" s="97">
        <f>IF(W223=0,0,1-(SUM(W222,W220)/W223))</f>
        <v>0</v>
      </c>
      <c r="X221" s="97"/>
      <c r="Y221" s="97"/>
      <c r="Z221" s="97"/>
      <c r="AA221" s="97"/>
      <c r="AB221" s="97"/>
      <c r="AC221" s="97" cm="1">
        <f t="array" ref="AC221">IF(AC$7="",0,_xll.GetData(AC$7,$AQ221))</f>
        <v>0</v>
      </c>
      <c r="AD221" s="97" cm="1">
        <f t="array" ref="AD221">IF(AD$7="",0,_xll.GetData(AD$7,$AQ221))</f>
        <v>0</v>
      </c>
      <c r="AE221" s="97" cm="1">
        <f t="array" ref="AE221">IF(AE$7="",0,_xll.GetData(AE$7,$AQ221))</f>
        <v>0</v>
      </c>
      <c r="AF221" s="97" cm="1">
        <f t="array" ref="AF221">IF(AF$7="",0,_xll.GetData(AF$7,$AQ221))</f>
        <v>0</v>
      </c>
      <c r="AG221" s="97" cm="1">
        <f t="array" ref="AG221">IF(AG$7="",0,_xll.GetData(AG$7,$AQ221))</f>
        <v>0</v>
      </c>
      <c r="AH221" s="97" cm="1">
        <f t="array" ref="AH221">IF(AH$7="",0,_xll.GetData(AH$7,$AQ221))</f>
        <v>0</v>
      </c>
      <c r="AI221" s="97" cm="1">
        <f t="array" ref="AI221">IF(AI$7="",0,_xll.GetData(AI$7,$AQ221))</f>
        <v>0</v>
      </c>
      <c r="AJ221" s="97" cm="1">
        <f t="array" ref="AJ221">IF(AJ$7="",0,_xll.GetData(AJ$7,$AQ221))</f>
        <v>0</v>
      </c>
      <c r="AK221" s="97" cm="1">
        <f t="array" ref="AK221">IF(AK$7="",0,_xll.GetData(AK$7,$AQ221))</f>
        <v>0</v>
      </c>
      <c r="AL221" s="97" cm="1">
        <f t="array" ref="AL221">IF(AL$7="",0,_xll.GetData(AL$7,$AQ221))</f>
        <v>0</v>
      </c>
      <c r="AM221" s="97" cm="1">
        <f t="array" ref="AM221">IF(AM$7="",0,_xll.GetData(AM$7,$AQ221))</f>
        <v>0</v>
      </c>
      <c r="AN221" s="97" cm="1">
        <f t="array" ref="AN221">IF(AN$7="",0,_xll.GetData(AN$7,$AQ221))</f>
        <v>0</v>
      </c>
      <c r="AO221" s="46"/>
      <c r="AP221" s="111">
        <f>AP223</f>
        <v>57</v>
      </c>
      <c r="AQ221" s="111" t="str">
        <f>"Dept="&amp;AU221&amp;" And Acct="&amp;AV221</f>
        <v>Dept=0 And Acct=52503</v>
      </c>
      <c r="AR221" s="167" t="str">
        <f>IF(OR(AU221=0,AV221=0),"NoSave","[Save]")</f>
        <v>NoSave</v>
      </c>
      <c r="AS221" s="167"/>
      <c r="AT221" s="167"/>
      <c r="AU221" s="111">
        <f>AU223</f>
        <v>0</v>
      </c>
      <c r="AV221" s="111">
        <f>AV223</f>
        <v>52503</v>
      </c>
      <c r="AW221" s="111">
        <v>1</v>
      </c>
      <c r="AX221" s="280">
        <f>IF(K$20="CYA",0,K221)</f>
        <v>0</v>
      </c>
      <c r="AY221" s="280">
        <f t="shared" ref="AY221:AY222" si="601">IF(L$20="CYA",0,L221)</f>
        <v>0</v>
      </c>
      <c r="AZ221" s="280">
        <f t="shared" ref="AZ221:AZ222" si="602">IF(M$20="CYA",0,M221)</f>
        <v>0</v>
      </c>
      <c r="BA221" s="280">
        <f t="shared" ref="BA221:BA222" si="603">IF(N$20="CYA",0,N221)</f>
        <v>0</v>
      </c>
      <c r="BB221" s="280">
        <f t="shared" ref="BB221:BB222" si="604">IF(O$20="CYA",0,O221)</f>
        <v>0</v>
      </c>
      <c r="BC221" s="280">
        <f t="shared" ref="BC221:BC222" si="605">IF(P$20="CYA",0,P221)</f>
        <v>0</v>
      </c>
      <c r="BD221" s="280">
        <f t="shared" ref="BD221:BD222" si="606">IF(Q$20="CYA",0,Q221)</f>
        <v>0</v>
      </c>
      <c r="BE221" s="280">
        <f t="shared" ref="BE221:BE222" si="607">IF(R$20="CYA",0,R221)</f>
        <v>0</v>
      </c>
      <c r="BF221" s="280">
        <f t="shared" ref="BF221:BF222" si="608">IF(S$20="CYA",0,S221)</f>
        <v>0</v>
      </c>
      <c r="BG221" s="280">
        <f t="shared" ref="BG221:BG222" si="609">IF(T$20="CYA",0,T221)</f>
        <v>0</v>
      </c>
      <c r="BH221" s="280">
        <f t="shared" ref="BH221:BH222" si="610">IF(U$20="CYA",0,U221)</f>
        <v>0</v>
      </c>
      <c r="BI221" s="280">
        <f t="shared" ref="BI221:BI222" si="611">IF(V$20="CYA",0,V221)</f>
        <v>0</v>
      </c>
      <c r="BJ221" s="90">
        <f>CB221</f>
        <v>0</v>
      </c>
      <c r="BK221" s="86">
        <v>0</v>
      </c>
    </row>
    <row r="222" spans="1:63" ht="18" thickTop="1" thickBot="1">
      <c r="A222" s="113"/>
      <c r="B222" s="106"/>
      <c r="C222" s="112" t="str">
        <f>C221</f>
        <v>ACCT.FSDetail='E_BadDebt'</v>
      </c>
      <c r="D222" s="110" t="s">
        <v>411</v>
      </c>
      <c r="E222" s="112"/>
      <c r="F222" s="58"/>
      <c r="G222" s="95" t="s">
        <v>329</v>
      </c>
      <c r="H222" s="95"/>
      <c r="I222" s="95"/>
      <c r="J222" s="67"/>
      <c r="K222" s="96">
        <v>0</v>
      </c>
      <c r="L222" s="96">
        <v>0</v>
      </c>
      <c r="M222" s="96">
        <v>0</v>
      </c>
      <c r="N222" s="96">
        <v>0</v>
      </c>
      <c r="O222" s="96">
        <v>0</v>
      </c>
      <c r="P222" s="96">
        <v>0</v>
      </c>
      <c r="Q222" s="96">
        <v>0</v>
      </c>
      <c r="R222" s="96">
        <v>0</v>
      </c>
      <c r="S222" s="89">
        <f t="shared" si="600"/>
        <v>0</v>
      </c>
      <c r="T222" s="89">
        <f t="shared" si="600"/>
        <v>0</v>
      </c>
      <c r="U222" s="89">
        <f t="shared" si="600"/>
        <v>0</v>
      </c>
      <c r="V222" s="89">
        <f t="shared" si="600"/>
        <v>0</v>
      </c>
      <c r="W222" s="96">
        <f>SUM(K222:V222)</f>
        <v>0</v>
      </c>
      <c r="X222" s="96"/>
      <c r="Y222" s="96"/>
      <c r="Z222" s="96"/>
      <c r="AA222" s="96"/>
      <c r="AB222" s="96"/>
      <c r="AC222" s="96" cm="1">
        <f t="array" ref="AC222">IF(AC$8="",0,_xll.GetData(AC$8,$AQ222))</f>
        <v>0</v>
      </c>
      <c r="AD222" s="96" cm="1">
        <f t="array" ref="AD222">IF(AD$8="",0,_xll.GetData(AD$8,$AQ222))</f>
        <v>0</v>
      </c>
      <c r="AE222" s="96" cm="1">
        <f t="array" ref="AE222">IF(AE$8="",0,_xll.GetData(AE$8,$AQ222))</f>
        <v>0</v>
      </c>
      <c r="AF222" s="96" cm="1">
        <f t="array" ref="AF222">IF(AF$8="",0,_xll.GetData(AF$8,$AQ222))</f>
        <v>0</v>
      </c>
      <c r="AG222" s="96" cm="1">
        <f t="array" ref="AG222">IF(AG$8="",0,_xll.GetData(AG$8,$AQ222))</f>
        <v>0</v>
      </c>
      <c r="AH222" s="96" cm="1">
        <f t="array" ref="AH222">IF(AH$8="",0,_xll.GetData(AH$8,$AQ222))</f>
        <v>0</v>
      </c>
      <c r="AI222" s="96" cm="1">
        <f t="array" ref="AI222">IF(AI$8="",0,_xll.GetData(AI$8,$AQ222))</f>
        <v>0</v>
      </c>
      <c r="AJ222" s="96" cm="1">
        <f t="array" ref="AJ222">IF(AJ$8="",0,_xll.GetData(AJ$8,$AQ222))</f>
        <v>0</v>
      </c>
      <c r="AK222" s="96" cm="1">
        <f t="array" ref="AK222">IF(AK$8="",0,_xll.GetData(AK$8,$AQ222))</f>
        <v>0</v>
      </c>
      <c r="AL222" s="96" cm="1">
        <f t="array" ref="AL222">IF(AL$8="",0,_xll.GetData(AL$8,$AQ222))</f>
        <v>0</v>
      </c>
      <c r="AM222" s="96" cm="1">
        <f t="array" ref="AM222">IF(AM$8="",0,_xll.GetData(AM$8,$AQ222))</f>
        <v>0</v>
      </c>
      <c r="AN222" s="96" cm="1">
        <f t="array" ref="AN222">IF(AN$8="",0,_xll.GetData(AN$8,$AQ222))</f>
        <v>0</v>
      </c>
      <c r="AO222" s="69"/>
      <c r="AP222" s="111">
        <f>AP223</f>
        <v>57</v>
      </c>
      <c r="AQ222" s="111" t="str">
        <f>"Dept="&amp;AU222&amp;" And Acct="&amp;AV222</f>
        <v>Dept=0 And Acct=52503</v>
      </c>
      <c r="AR222" s="167"/>
      <c r="AS222" s="167" t="str">
        <f>IF(OR(AU222=0,AV222=0),"NoSave","[Save]")</f>
        <v>NoSave</v>
      </c>
      <c r="AT222" s="167"/>
      <c r="AU222" s="111">
        <f>AU223</f>
        <v>0</v>
      </c>
      <c r="AV222" s="111">
        <f>AV223</f>
        <v>52503</v>
      </c>
      <c r="AW222" s="111">
        <v>1</v>
      </c>
      <c r="AX222" s="281">
        <f>IF(K$20="CYA",0,K222)</f>
        <v>0</v>
      </c>
      <c r="AY222" s="281">
        <f t="shared" si="601"/>
        <v>0</v>
      </c>
      <c r="AZ222" s="281">
        <f t="shared" si="602"/>
        <v>0</v>
      </c>
      <c r="BA222" s="281">
        <f t="shared" si="603"/>
        <v>0</v>
      </c>
      <c r="BB222" s="281">
        <f t="shared" si="604"/>
        <v>0</v>
      </c>
      <c r="BC222" s="281">
        <f t="shared" si="605"/>
        <v>0</v>
      </c>
      <c r="BD222" s="281">
        <f t="shared" si="606"/>
        <v>0</v>
      </c>
      <c r="BE222" s="281">
        <f t="shared" si="607"/>
        <v>0</v>
      </c>
      <c r="BF222" s="281">
        <f t="shared" si="608"/>
        <v>0</v>
      </c>
      <c r="BG222" s="281">
        <f t="shared" si="609"/>
        <v>0</v>
      </c>
      <c r="BH222" s="281">
        <f t="shared" si="610"/>
        <v>0</v>
      </c>
      <c r="BI222" s="281">
        <f t="shared" si="611"/>
        <v>0</v>
      </c>
      <c r="BJ222" s="89">
        <f>CB222</f>
        <v>0</v>
      </c>
      <c r="BK222" s="96">
        <v>0</v>
      </c>
    </row>
    <row r="223" spans="1:63" ht="17.399999999999999" thickTop="1">
      <c r="A223" s="105"/>
      <c r="B223" s="114" t="str">
        <f>C220</f>
        <v>E_BadDebt</v>
      </c>
      <c r="C223" s="112" t="s">
        <v>278</v>
      </c>
      <c r="D223" s="110"/>
      <c r="E223" s="112"/>
      <c r="F223" s="74"/>
      <c r="G223" s="100" t="str">
        <f>"   Total "&amp;G220</f>
        <v xml:space="preserve">   Total Bad Debt</v>
      </c>
      <c r="H223" s="100"/>
      <c r="I223" s="116"/>
      <c r="J223" s="116"/>
      <c r="K223" s="116">
        <f>IF(K$20="CYA",K220,K220*(1+K221)+K222)</f>
        <v>0</v>
      </c>
      <c r="L223" s="116">
        <f>IF(L$20="CYA",L220,L220*(1+L221)+L222)</f>
        <v>0</v>
      </c>
      <c r="M223" s="116">
        <f>IF(M$20="CYA",M220,M220*(1+M221)+M222)</f>
        <v>0</v>
      </c>
      <c r="N223" s="116">
        <f>IF(N$20="CYA",N220,N220*(1+N221)+N222)</f>
        <v>0</v>
      </c>
      <c r="O223" s="116">
        <f>IF(O$20="CYA",O220,O220*(1+O221)+O222)</f>
        <v>0</v>
      </c>
      <c r="P223" s="116">
        <f>IF(P$20="CYA",P220,P220*(1+P221)+P222)</f>
        <v>0</v>
      </c>
      <c r="Q223" s="116">
        <f>IF(Q$20="CYA",Q220,Q220*(1+Q221)+Q222)</f>
        <v>0</v>
      </c>
      <c r="R223" s="116">
        <f>IF(R$20="CYA",R220,R220*(1+R221)+R222)</f>
        <v>0</v>
      </c>
      <c r="S223" s="116">
        <f>IF(S$20="CYA",S220,S220*(1+S221)+S222)</f>
        <v>0</v>
      </c>
      <c r="T223" s="116">
        <f>IF(T$20="CYA",T220,T220*(1+T221)+T222)</f>
        <v>0</v>
      </c>
      <c r="U223" s="116">
        <f>IF(U$20="CYA",U220,U220*(1+U221)+U222)</f>
        <v>0</v>
      </c>
      <c r="V223" s="116">
        <f>IF(V$20="CYA",V220,V220*(1+V221)+V222)</f>
        <v>0</v>
      </c>
      <c r="W223" s="116">
        <f>SUM(K223:V223)</f>
        <v>0</v>
      </c>
      <c r="X223" s="116"/>
      <c r="Y223" s="116">
        <f>SUM(Y220:Y222)</f>
        <v>0</v>
      </c>
      <c r="Z223" s="116">
        <f>Y223-W223</f>
        <v>0</v>
      </c>
      <c r="AA223" s="102">
        <f>IF(Y223=0,0,Z223/Y223)</f>
        <v>0</v>
      </c>
      <c r="AB223" s="116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67"/>
      <c r="AP223" s="111">
        <f>ROW(Control!D57)</f>
        <v>57</v>
      </c>
      <c r="AQ223" s="111"/>
      <c r="AR223" s="167"/>
      <c r="AS223" s="167"/>
      <c r="AT223" s="167" t="str">
        <f>IF(OR(AU223=0,AV223=0),"NoSave","[Save]")</f>
        <v>NoSave</v>
      </c>
      <c r="AU223" s="111" cm="1">
        <f t="array" ref="AU223">INDEX(Control!G$1:G$9997,$AP223)</f>
        <v>0</v>
      </c>
      <c r="AV223" s="111" cm="1">
        <f t="array" ref="AV223">INDEX(Control!I$1:I$9997,$AP223)</f>
        <v>52503</v>
      </c>
      <c r="AW223" s="111">
        <v>1</v>
      </c>
      <c r="AX223" s="281">
        <f>IF(K$20="CYA",0,K223-K220)</f>
        <v>0</v>
      </c>
      <c r="AY223" s="281">
        <f t="shared" ref="AY223" si="612">IF(L$20="CYA",0,L223-L220)</f>
        <v>0</v>
      </c>
      <c r="AZ223" s="281">
        <f t="shared" ref="AZ223" si="613">IF(M$20="CYA",0,M223-M220)</f>
        <v>0</v>
      </c>
      <c r="BA223" s="281">
        <f t="shared" ref="BA223" si="614">IF(N$20="CYA",0,N223-N220)</f>
        <v>0</v>
      </c>
      <c r="BB223" s="281">
        <f t="shared" ref="BB223" si="615">IF(O$20="CYA",0,O223-O220)</f>
        <v>0</v>
      </c>
      <c r="BC223" s="281">
        <f t="shared" ref="BC223" si="616">IF(P$20="CYA",0,P223-P220)</f>
        <v>0</v>
      </c>
      <c r="BD223" s="281">
        <f t="shared" ref="BD223" si="617">IF(Q$20="CYA",0,Q223-Q220)</f>
        <v>0</v>
      </c>
      <c r="BE223" s="281">
        <f t="shared" ref="BE223" si="618">IF(R$20="CYA",0,R223-R220)</f>
        <v>0</v>
      </c>
      <c r="BF223" s="281">
        <f t="shared" ref="BF223" si="619">IF(S$20="CYA",0,S223-S220)</f>
        <v>0</v>
      </c>
      <c r="BG223" s="281">
        <f t="shared" ref="BG223" si="620">IF(T$20="CYA",0,T223-T220)</f>
        <v>0</v>
      </c>
      <c r="BH223" s="281">
        <f t="shared" ref="BH223" si="621">IF(U$20="CYA",0,U223-U220)</f>
        <v>0</v>
      </c>
      <c r="BI223" s="281">
        <f t="shared" ref="BI223" si="622">IF(V$20="CYA",0,V223-V220)</f>
        <v>0</v>
      </c>
    </row>
    <row r="224" spans="1:63" ht="16.8">
      <c r="A224" s="105"/>
      <c r="B224" s="106"/>
      <c r="C224" s="112"/>
      <c r="D224" s="110"/>
      <c r="E224" s="112"/>
      <c r="F224" s="74"/>
      <c r="G224" s="95"/>
      <c r="H224" s="95"/>
      <c r="I224" s="95"/>
      <c r="J224" s="67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67"/>
      <c r="AR224" s="167"/>
      <c r="AS224" s="167"/>
      <c r="AT224" s="167"/>
      <c r="AU224" s="111"/>
      <c r="AV224" s="111"/>
      <c r="AW224" s="111"/>
      <c r="AX224" s="111"/>
      <c r="AY224" s="111"/>
      <c r="AZ224" s="111"/>
      <c r="BA224" s="111"/>
      <c r="BB224" s="111"/>
      <c r="BC224" s="111"/>
      <c r="BD224" s="111"/>
      <c r="BE224" s="111"/>
      <c r="BF224" s="111"/>
      <c r="BG224" s="111"/>
      <c r="BH224" s="111"/>
      <c r="BI224" s="111"/>
    </row>
    <row r="225" spans="1:63" ht="17.399999999999999" thickBot="1">
      <c r="A225" s="105" t="str">
        <f>C225</f>
        <v>E_OtherExp</v>
      </c>
      <c r="B225" s="106"/>
      <c r="C225" s="112" t="s">
        <v>353</v>
      </c>
      <c r="D225" s="110"/>
      <c r="E225" s="112"/>
      <c r="F225" s="58"/>
      <c r="G225" s="95" t="s">
        <v>246</v>
      </c>
      <c r="H225" s="95"/>
      <c r="I225" s="95"/>
      <c r="J225" s="67"/>
      <c r="K225" s="96">
        <v>3079808.72</v>
      </c>
      <c r="L225" s="96">
        <v>3392013.31</v>
      </c>
      <c r="M225" s="96">
        <v>3595597.56</v>
      </c>
      <c r="N225" s="96">
        <v>3186697.02</v>
      </c>
      <c r="O225" s="96">
        <v>3153603.11</v>
      </c>
      <c r="P225" s="96">
        <v>3294468.097719904</v>
      </c>
      <c r="Q225" s="96">
        <v>3302645.0748518296</v>
      </c>
      <c r="R225" s="96">
        <v>3223947.483107849</v>
      </c>
      <c r="S225" s="96">
        <v>3178869.9925740673</v>
      </c>
      <c r="T225" s="96">
        <v>3192875.0343527854</v>
      </c>
      <c r="U225" s="96">
        <v>3298407.8779925434</v>
      </c>
      <c r="V225" s="96">
        <v>3183267.9176194957</v>
      </c>
      <c r="W225" s="96">
        <f>SUM(K225:V225)</f>
        <v>39082201.198218472</v>
      </c>
      <c r="X225" s="96"/>
      <c r="Y225" s="96">
        <v>39352669.872318745</v>
      </c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R225" s="167"/>
      <c r="AS225" s="167"/>
      <c r="AT225" s="167"/>
      <c r="AU225" s="111"/>
      <c r="AV225" s="111"/>
      <c r="AW225" s="111">
        <v>1</v>
      </c>
      <c r="AX225" s="111"/>
      <c r="AY225" s="111"/>
      <c r="AZ225" s="111"/>
      <c r="BA225" s="111"/>
      <c r="BB225" s="111"/>
      <c r="BC225" s="111"/>
      <c r="BD225" s="111"/>
      <c r="BE225" s="111"/>
      <c r="BF225" s="111"/>
      <c r="BG225" s="111"/>
      <c r="BH225" s="111"/>
      <c r="BI225" s="111"/>
    </row>
    <row r="226" spans="1:63" ht="18" thickTop="1" thickBot="1">
      <c r="A226" s="105"/>
      <c r="B226" s="106"/>
      <c r="C226" s="112" t="str">
        <f>"ACCT.FSDetail='"&amp;C225&amp;"'"</f>
        <v>ACCT.FSDetail='E_OtherExp'</v>
      </c>
      <c r="D226" s="110" t="s">
        <v>411</v>
      </c>
      <c r="E226" s="112"/>
      <c r="F226" s="58"/>
      <c r="G226" s="95" t="s">
        <v>328</v>
      </c>
      <c r="H226" s="95"/>
      <c r="I226" s="95"/>
      <c r="J226" s="46"/>
      <c r="K226" s="86">
        <v>0</v>
      </c>
      <c r="L226" s="86">
        <v>0</v>
      </c>
      <c r="M226" s="86">
        <v>0</v>
      </c>
      <c r="N226" s="86">
        <v>0</v>
      </c>
      <c r="O226" s="86">
        <v>0</v>
      </c>
      <c r="P226" s="86">
        <v>0</v>
      </c>
      <c r="Q226" s="86">
        <v>0</v>
      </c>
      <c r="R226" s="86">
        <v>0</v>
      </c>
      <c r="S226" s="90">
        <f t="shared" ref="S226:V227" si="623">AK226</f>
        <v>0</v>
      </c>
      <c r="T226" s="90">
        <f t="shared" si="623"/>
        <v>0</v>
      </c>
      <c r="U226" s="90">
        <f t="shared" si="623"/>
        <v>0</v>
      </c>
      <c r="V226" s="90">
        <f t="shared" si="623"/>
        <v>0</v>
      </c>
      <c r="W226" s="97">
        <f>IF(W228=0,0,1-(SUM(W227,W225)/W228))</f>
        <v>0</v>
      </c>
      <c r="X226" s="97"/>
      <c r="Y226" s="97"/>
      <c r="Z226" s="97"/>
      <c r="AA226" s="97"/>
      <c r="AB226" s="97"/>
      <c r="AC226" s="97" cm="1">
        <f t="array" ref="AC226">IF(AC$7="",0,_xll.GetData(AC$7,$AQ226))</f>
        <v>0</v>
      </c>
      <c r="AD226" s="97" cm="1">
        <f t="array" ref="AD226">IF(AD$7="",0,_xll.GetData(AD$7,$AQ226))</f>
        <v>0</v>
      </c>
      <c r="AE226" s="97" cm="1">
        <f t="array" ref="AE226">IF(AE$7="",0,_xll.GetData(AE$7,$AQ226))</f>
        <v>0</v>
      </c>
      <c r="AF226" s="97" cm="1">
        <f t="array" ref="AF226">IF(AF$7="",0,_xll.GetData(AF$7,$AQ226))</f>
        <v>0</v>
      </c>
      <c r="AG226" s="97" cm="1">
        <f t="array" ref="AG226">IF(AG$7="",0,_xll.GetData(AG$7,$AQ226))</f>
        <v>0</v>
      </c>
      <c r="AH226" s="97" cm="1">
        <f t="array" ref="AH226">IF(AH$7="",0,_xll.GetData(AH$7,$AQ226))</f>
        <v>0</v>
      </c>
      <c r="AI226" s="97" cm="1">
        <f t="array" ref="AI226">IF(AI$7="",0,_xll.GetData(AI$7,$AQ226))</f>
        <v>0</v>
      </c>
      <c r="AJ226" s="97" cm="1">
        <f t="array" ref="AJ226">IF(AJ$7="",0,_xll.GetData(AJ$7,$AQ226))</f>
        <v>0</v>
      </c>
      <c r="AK226" s="97" cm="1">
        <f t="array" ref="AK226">IF(AK$7="",0,_xll.GetData(AK$7,$AQ226))</f>
        <v>0</v>
      </c>
      <c r="AL226" s="97" cm="1">
        <f t="array" ref="AL226">IF(AL$7="",0,_xll.GetData(AL$7,$AQ226))</f>
        <v>0</v>
      </c>
      <c r="AM226" s="97" cm="1">
        <f t="array" ref="AM226">IF(AM$7="",0,_xll.GetData(AM$7,$AQ226))</f>
        <v>0</v>
      </c>
      <c r="AN226" s="97" cm="1">
        <f t="array" ref="AN226">IF(AN$7="",0,_xll.GetData(AN$7,$AQ226))</f>
        <v>0</v>
      </c>
      <c r="AO226" s="46"/>
      <c r="AP226" s="111">
        <f>AP228</f>
        <v>58</v>
      </c>
      <c r="AQ226" s="111" t="str">
        <f>"Dept="&amp;AU226&amp;" And Acct="&amp;AV226</f>
        <v>Dept=0 And Acct=69900</v>
      </c>
      <c r="AR226" s="167" t="str">
        <f>IF(OR(AU226=0,AV226=0),"NoSave","[Save]")</f>
        <v>NoSave</v>
      </c>
      <c r="AS226" s="167"/>
      <c r="AT226" s="167"/>
      <c r="AU226" s="111">
        <f>AU228</f>
        <v>0</v>
      </c>
      <c r="AV226" s="111">
        <f>AV228</f>
        <v>69900</v>
      </c>
      <c r="AW226" s="111">
        <v>1</v>
      </c>
      <c r="AX226" s="280">
        <f>IF(K$20="CYA",0,K226)</f>
        <v>0</v>
      </c>
      <c r="AY226" s="280">
        <f t="shared" ref="AY226:AY227" si="624">IF(L$20="CYA",0,L226)</f>
        <v>0</v>
      </c>
      <c r="AZ226" s="280">
        <f t="shared" ref="AZ226:AZ227" si="625">IF(M$20="CYA",0,M226)</f>
        <v>0</v>
      </c>
      <c r="BA226" s="280">
        <f t="shared" ref="BA226:BA227" si="626">IF(N$20="CYA",0,N226)</f>
        <v>0</v>
      </c>
      <c r="BB226" s="280">
        <f t="shared" ref="BB226:BB227" si="627">IF(O$20="CYA",0,O226)</f>
        <v>0</v>
      </c>
      <c r="BC226" s="280">
        <f t="shared" ref="BC226:BC227" si="628">IF(P$20="CYA",0,P226)</f>
        <v>0</v>
      </c>
      <c r="BD226" s="280">
        <f t="shared" ref="BD226:BD227" si="629">IF(Q$20="CYA",0,Q226)</f>
        <v>0</v>
      </c>
      <c r="BE226" s="280">
        <f t="shared" ref="BE226:BE227" si="630">IF(R$20="CYA",0,R226)</f>
        <v>0</v>
      </c>
      <c r="BF226" s="280">
        <f t="shared" ref="BF226:BF227" si="631">IF(S$20="CYA",0,S226)</f>
        <v>0</v>
      </c>
      <c r="BG226" s="280">
        <f t="shared" ref="BG226:BG227" si="632">IF(T$20="CYA",0,T226)</f>
        <v>0</v>
      </c>
      <c r="BH226" s="280">
        <f t="shared" ref="BH226:BH227" si="633">IF(U$20="CYA",0,U226)</f>
        <v>0</v>
      </c>
      <c r="BI226" s="280">
        <f t="shared" ref="BI226:BI227" si="634">IF(V$20="CYA",0,V226)</f>
        <v>0</v>
      </c>
      <c r="BJ226" s="90">
        <f>CB226</f>
        <v>0</v>
      </c>
      <c r="BK226" s="86">
        <v>0</v>
      </c>
    </row>
    <row r="227" spans="1:63" ht="18" thickTop="1" thickBot="1">
      <c r="A227" s="113"/>
      <c r="B227" s="106"/>
      <c r="C227" s="112" t="str">
        <f>C226</f>
        <v>ACCT.FSDetail='E_OtherExp'</v>
      </c>
      <c r="D227" s="110" t="s">
        <v>411</v>
      </c>
      <c r="E227" s="112"/>
      <c r="F227" s="58"/>
      <c r="G227" s="95" t="s">
        <v>329</v>
      </c>
      <c r="H227" s="95"/>
      <c r="I227" s="95"/>
      <c r="J227" s="67"/>
      <c r="K227" s="96">
        <v>0</v>
      </c>
      <c r="L227" s="96">
        <v>0</v>
      </c>
      <c r="M227" s="96">
        <v>0</v>
      </c>
      <c r="N227" s="96">
        <v>0</v>
      </c>
      <c r="O227" s="96">
        <v>0</v>
      </c>
      <c r="P227" s="96">
        <v>0</v>
      </c>
      <c r="Q227" s="96">
        <v>0</v>
      </c>
      <c r="R227" s="96">
        <v>0</v>
      </c>
      <c r="S227" s="89">
        <f t="shared" si="623"/>
        <v>0</v>
      </c>
      <c r="T227" s="89">
        <f t="shared" si="623"/>
        <v>0</v>
      </c>
      <c r="U227" s="89">
        <f t="shared" si="623"/>
        <v>0</v>
      </c>
      <c r="V227" s="89">
        <f t="shared" si="623"/>
        <v>0</v>
      </c>
      <c r="W227" s="96">
        <f>SUM(K227:V227)</f>
        <v>0</v>
      </c>
      <c r="X227" s="96"/>
      <c r="Y227" s="96"/>
      <c r="Z227" s="96"/>
      <c r="AA227" s="96"/>
      <c r="AB227" s="96"/>
      <c r="AC227" s="96" cm="1">
        <f t="array" ref="AC227">IF(AC$8="",0,_xll.GetData(AC$8,$AQ227))</f>
        <v>0</v>
      </c>
      <c r="AD227" s="96" cm="1">
        <f t="array" ref="AD227">IF(AD$8="",0,_xll.GetData(AD$8,$AQ227))</f>
        <v>0</v>
      </c>
      <c r="AE227" s="96" cm="1">
        <f t="array" ref="AE227">IF(AE$8="",0,_xll.GetData(AE$8,$AQ227))</f>
        <v>0</v>
      </c>
      <c r="AF227" s="96" cm="1">
        <f t="array" ref="AF227">IF(AF$8="",0,_xll.GetData(AF$8,$AQ227))</f>
        <v>0</v>
      </c>
      <c r="AG227" s="96" cm="1">
        <f t="array" ref="AG227">IF(AG$8="",0,_xll.GetData(AG$8,$AQ227))</f>
        <v>0</v>
      </c>
      <c r="AH227" s="96" cm="1">
        <f t="array" ref="AH227">IF(AH$8="",0,_xll.GetData(AH$8,$AQ227))</f>
        <v>0</v>
      </c>
      <c r="AI227" s="96" cm="1">
        <f t="array" ref="AI227">IF(AI$8="",0,_xll.GetData(AI$8,$AQ227))</f>
        <v>0</v>
      </c>
      <c r="AJ227" s="96" cm="1">
        <f t="array" ref="AJ227">IF(AJ$8="",0,_xll.GetData(AJ$8,$AQ227))</f>
        <v>0</v>
      </c>
      <c r="AK227" s="96" cm="1">
        <f t="array" ref="AK227">IF(AK$8="",0,_xll.GetData(AK$8,$AQ227))</f>
        <v>0</v>
      </c>
      <c r="AL227" s="96" cm="1">
        <f t="array" ref="AL227">IF(AL$8="",0,_xll.GetData(AL$8,$AQ227))</f>
        <v>0</v>
      </c>
      <c r="AM227" s="96" cm="1">
        <f t="array" ref="AM227">IF(AM$8="",0,_xll.GetData(AM$8,$AQ227))</f>
        <v>0</v>
      </c>
      <c r="AN227" s="96" cm="1">
        <f t="array" ref="AN227">IF(AN$8="",0,_xll.GetData(AN$8,$AQ227))</f>
        <v>0</v>
      </c>
      <c r="AO227" s="69"/>
      <c r="AP227" s="111">
        <f>AP228</f>
        <v>58</v>
      </c>
      <c r="AQ227" s="111" t="str">
        <f>"Dept="&amp;AU227&amp;" And Acct="&amp;AV227</f>
        <v>Dept=0 And Acct=69900</v>
      </c>
      <c r="AR227" s="167"/>
      <c r="AS227" s="167" t="str">
        <f>IF(OR(AU227=0,AV227=0),"NoSave","[Save]")</f>
        <v>NoSave</v>
      </c>
      <c r="AT227" s="167"/>
      <c r="AU227" s="111">
        <f>AU228</f>
        <v>0</v>
      </c>
      <c r="AV227" s="111">
        <f>AV228</f>
        <v>69900</v>
      </c>
      <c r="AW227" s="111">
        <v>1</v>
      </c>
      <c r="AX227" s="281">
        <f>IF(K$20="CYA",0,K227)</f>
        <v>0</v>
      </c>
      <c r="AY227" s="281">
        <f t="shared" si="624"/>
        <v>0</v>
      </c>
      <c r="AZ227" s="281">
        <f t="shared" si="625"/>
        <v>0</v>
      </c>
      <c r="BA227" s="281">
        <f t="shared" si="626"/>
        <v>0</v>
      </c>
      <c r="BB227" s="281">
        <f t="shared" si="627"/>
        <v>0</v>
      </c>
      <c r="BC227" s="281">
        <f t="shared" si="628"/>
        <v>0</v>
      </c>
      <c r="BD227" s="281">
        <f t="shared" si="629"/>
        <v>0</v>
      </c>
      <c r="BE227" s="281">
        <f t="shared" si="630"/>
        <v>0</v>
      </c>
      <c r="BF227" s="281">
        <f t="shared" si="631"/>
        <v>0</v>
      </c>
      <c r="BG227" s="281">
        <f t="shared" si="632"/>
        <v>0</v>
      </c>
      <c r="BH227" s="281">
        <f t="shared" si="633"/>
        <v>0</v>
      </c>
      <c r="BI227" s="281">
        <f t="shared" si="634"/>
        <v>0</v>
      </c>
      <c r="BJ227" s="89">
        <f>CB227</f>
        <v>0</v>
      </c>
      <c r="BK227" s="96">
        <v>0</v>
      </c>
    </row>
    <row r="228" spans="1:63" ht="17.399999999999999" thickTop="1">
      <c r="A228" s="105"/>
      <c r="B228" s="114" t="str">
        <f>C225</f>
        <v>E_OtherExp</v>
      </c>
      <c r="C228" s="112" t="s">
        <v>278</v>
      </c>
      <c r="D228" s="110"/>
      <c r="E228" s="112"/>
      <c r="F228" s="74"/>
      <c r="G228" s="100" t="str">
        <f>"   Total "&amp;G225</f>
        <v xml:space="preserve">   Total Other Expenses</v>
      </c>
      <c r="H228" s="100"/>
      <c r="I228" s="100"/>
      <c r="J228" s="116"/>
      <c r="K228" s="116">
        <f>IF(K$20="CYA",K225,K225*(1+K226)+K227)</f>
        <v>3079808.72</v>
      </c>
      <c r="L228" s="116">
        <f>IF(L$20="CYA",L225,L225*(1+L226)+L227)</f>
        <v>3392013.31</v>
      </c>
      <c r="M228" s="116">
        <f>IF(M$20="CYA",M225,M225*(1+M226)+M227)</f>
        <v>3595597.56</v>
      </c>
      <c r="N228" s="116">
        <f>IF(N$20="CYA",N225,N225*(1+N226)+N227)</f>
        <v>3186697.02</v>
      </c>
      <c r="O228" s="116">
        <f>IF(O$20="CYA",O225,O225*(1+O226)+O227)</f>
        <v>3153603.11</v>
      </c>
      <c r="P228" s="116">
        <f>IF(P$20="CYA",P225,P225*(1+P226)+P227)</f>
        <v>3294468.097719904</v>
      </c>
      <c r="Q228" s="116">
        <f>IF(Q$20="CYA",Q225,Q225*(1+Q226)+Q227)</f>
        <v>3302645.0748518296</v>
      </c>
      <c r="R228" s="116">
        <f>IF(R$20="CYA",R225,R225*(1+R226)+R227)</f>
        <v>3223947.483107849</v>
      </c>
      <c r="S228" s="116">
        <f>IF(S$20="CYA",S225,S225*(1+S226)+S227)</f>
        <v>3178869.9925740673</v>
      </c>
      <c r="T228" s="116">
        <f>IF(T$20="CYA",T225,T225*(1+T226)+T227)</f>
        <v>3192875.0343527854</v>
      </c>
      <c r="U228" s="116">
        <f>IF(U$20="CYA",U225,U225*(1+U226)+U227)</f>
        <v>3298407.8779925434</v>
      </c>
      <c r="V228" s="116">
        <f>IF(V$20="CYA",V225,V225*(1+V226)+V227)</f>
        <v>3183267.9176194957</v>
      </c>
      <c r="W228" s="116">
        <f>SUM(K228:V228)</f>
        <v>39082201.198218472</v>
      </c>
      <c r="X228" s="116"/>
      <c r="Y228" s="116">
        <f>SUM(Y225:Y227)</f>
        <v>39352669.872318745</v>
      </c>
      <c r="Z228" s="116">
        <f>Y228-W228</f>
        <v>270468.67410027236</v>
      </c>
      <c r="AA228" s="102">
        <f>IF(Y228=0,0,Z228/Y228)</f>
        <v>6.872943436311142E-3</v>
      </c>
      <c r="AB228" s="116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67"/>
      <c r="AP228" s="111">
        <f>ROW(Control!D58)</f>
        <v>58</v>
      </c>
      <c r="AQ228" s="111"/>
      <c r="AR228" s="167"/>
      <c r="AS228" s="167"/>
      <c r="AT228" s="167" t="str">
        <f>IF(OR(AU228=0,AV228=0),"NoSave","[Save]")</f>
        <v>NoSave</v>
      </c>
      <c r="AU228" s="111" cm="1">
        <f t="array" ref="AU228">INDEX(Control!G$1:G$9997,$AP228)</f>
        <v>0</v>
      </c>
      <c r="AV228" s="111" cm="1">
        <f t="array" ref="AV228">INDEX(Control!I$1:I$9997,$AP228)</f>
        <v>69900</v>
      </c>
      <c r="AW228" s="111">
        <v>1</v>
      </c>
      <c r="AX228" s="281">
        <f>IF(K$20="CYA",0,K228-K225)</f>
        <v>0</v>
      </c>
      <c r="AY228" s="281">
        <f t="shared" ref="AY228" si="635">IF(L$20="CYA",0,L228-L225)</f>
        <v>0</v>
      </c>
      <c r="AZ228" s="281">
        <f t="shared" ref="AZ228" si="636">IF(M$20="CYA",0,M228-M225)</f>
        <v>0</v>
      </c>
      <c r="BA228" s="281">
        <f t="shared" ref="BA228" si="637">IF(N$20="CYA",0,N228-N225)</f>
        <v>0</v>
      </c>
      <c r="BB228" s="281">
        <f t="shared" ref="BB228" si="638">IF(O$20="CYA",0,O228-O225)</f>
        <v>0</v>
      </c>
      <c r="BC228" s="281">
        <f t="shared" ref="BC228" si="639">IF(P$20="CYA",0,P228-P225)</f>
        <v>0</v>
      </c>
      <c r="BD228" s="281">
        <f t="shared" ref="BD228" si="640">IF(Q$20="CYA",0,Q228-Q225)</f>
        <v>0</v>
      </c>
      <c r="BE228" s="281">
        <f t="shared" ref="BE228" si="641">IF(R$20="CYA",0,R228-R225)</f>
        <v>0</v>
      </c>
      <c r="BF228" s="281">
        <f t="shared" ref="BF228" si="642">IF(S$20="CYA",0,S228-S225)</f>
        <v>0</v>
      </c>
      <c r="BG228" s="281">
        <f t="shared" ref="BG228" si="643">IF(T$20="CYA",0,T228-T225)</f>
        <v>0</v>
      </c>
      <c r="BH228" s="281">
        <f t="shared" ref="BH228" si="644">IF(U$20="CYA",0,U228-U225)</f>
        <v>0</v>
      </c>
      <c r="BI228" s="281">
        <f t="shared" ref="BI228" si="645">IF(V$20="CYA",0,V228-V225)</f>
        <v>0</v>
      </c>
    </row>
    <row r="229" spans="1:63" ht="16.8">
      <c r="A229" s="105"/>
      <c r="B229" s="106"/>
      <c r="C229" s="112"/>
      <c r="D229" s="110"/>
      <c r="E229" s="112"/>
      <c r="F229" s="74"/>
      <c r="G229" s="75"/>
      <c r="H229" s="67"/>
      <c r="I229" s="71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AR229" s="167"/>
      <c r="AS229" s="167"/>
      <c r="AT229" s="167"/>
      <c r="AU229" s="111"/>
      <c r="AV229" s="111"/>
      <c r="AW229" s="111"/>
      <c r="AX229" s="111"/>
      <c r="AY229" s="111"/>
      <c r="AZ229" s="111"/>
      <c r="BA229" s="111"/>
      <c r="BB229" s="111"/>
      <c r="BC229" s="111"/>
      <c r="BD229" s="111"/>
      <c r="BE229" s="111"/>
      <c r="BF229" s="111"/>
      <c r="BG229" s="111"/>
      <c r="BH229" s="111"/>
      <c r="BI229" s="111"/>
    </row>
    <row r="230" spans="1:63" ht="16.8">
      <c r="A230" s="105"/>
      <c r="B230" s="106"/>
      <c r="C230" s="112"/>
      <c r="D230" s="110"/>
      <c r="E230" s="112"/>
      <c r="F230" s="58"/>
      <c r="G230" s="68"/>
      <c r="H230" s="67"/>
      <c r="I230" s="71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AR230" s="167"/>
      <c r="AS230" s="167"/>
      <c r="AT230" s="167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  <c r="BE230" s="111"/>
      <c r="BF230" s="111"/>
      <c r="BG230" s="111"/>
      <c r="BH230" s="111"/>
      <c r="BI230" s="111"/>
    </row>
    <row r="231" spans="1:63" ht="16.8">
      <c r="A231" s="105"/>
      <c r="B231" s="106"/>
      <c r="C231" s="112"/>
      <c r="D231" s="110"/>
      <c r="E231" s="112"/>
      <c r="F231" s="58"/>
      <c r="G231" s="100" t="s">
        <v>247</v>
      </c>
      <c r="H231" s="100"/>
      <c r="I231" s="116"/>
      <c r="J231" s="116"/>
      <c r="K231" s="116">
        <f ca="1">SUMIF($C$30:$C$280,"Expense",K30:K230)</f>
        <v>32478319.390000004</v>
      </c>
      <c r="L231" s="116">
        <f ca="1">SUMIF($C$30:$C$280,"Expense",L30:L230)</f>
        <v>34513651.140000008</v>
      </c>
      <c r="M231" s="116">
        <f ca="1">SUMIF($C$30:$C$280,"Expense",M30:M230)</f>
        <v>34159563.039999999</v>
      </c>
      <c r="N231" s="116">
        <f ca="1">SUMIF($C$30:$C$280,"Expense",N30:N230)</f>
        <v>34341983.050000004</v>
      </c>
      <c r="O231" s="116">
        <f ca="1">SUMIF($C$30:$C$280,"Expense",O30:O230)</f>
        <v>33690269.139999993</v>
      </c>
      <c r="P231" s="116">
        <f ca="1">SUMIF($C$30:$C$280,"Expense",P30:P230)</f>
        <v>28688856.177448895</v>
      </c>
      <c r="Q231" s="116">
        <f ca="1">SUMIF($C$30:$C$280,"Expense",Q30:Q230)</f>
        <v>29458256.292292543</v>
      </c>
      <c r="R231" s="116">
        <f ca="1">SUMIF($C$30:$C$280,"Expense",R30:R230)</f>
        <v>29393107.090884656</v>
      </c>
      <c r="S231" s="116">
        <f ca="1">SUMIF($C$30:$C$280,"Expense",S30:S230)</f>
        <v>29810080.028051481</v>
      </c>
      <c r="T231" s="116">
        <f ca="1">SUMIF($C$30:$C$280,"Expense",T30:T230)</f>
        <v>30022735.952675793</v>
      </c>
      <c r="U231" s="116">
        <f ca="1">SUMIF($C$30:$C$280,"Expense",U30:U230)</f>
        <v>31119042.472862713</v>
      </c>
      <c r="V231" s="116">
        <f ca="1">SUMIF($C$30:$C$280,"Expense",V30:V230)</f>
        <v>35359781.963905074</v>
      </c>
      <c r="W231" s="116">
        <f ca="1">SUMIF($C$30:$C$280,"Expense",W30:W230)</f>
        <v>383035645.73812103</v>
      </c>
      <c r="X231" s="116"/>
      <c r="Y231" s="116">
        <f ca="1">SUMIF($C$30:$C$280,"Expense",Y30:Y230)</f>
        <v>386697833.44392514</v>
      </c>
      <c r="Z231" s="116">
        <f ca="1">SUMIF($C$30:$C$280,"Expense",Z30:Z230)</f>
        <v>3662187.7058039596</v>
      </c>
      <c r="AA231" s="102">
        <f ca="1">SUMIF($C$30:$C$280,"Expense",AA30:AA230)</f>
        <v>-0.31480125233631268</v>
      </c>
      <c r="AB231" s="116"/>
      <c r="AC231" s="116">
        <f t="shared" ref="AC231:AN231" ca="1" si="646">SUMIF($C$30:$C$280,"Expense",AC30:AC230)</f>
        <v>0</v>
      </c>
      <c r="AD231" s="116">
        <f t="shared" ca="1" si="646"/>
        <v>0</v>
      </c>
      <c r="AE231" s="116">
        <f t="shared" ca="1" si="646"/>
        <v>0</v>
      </c>
      <c r="AF231" s="116">
        <f t="shared" ca="1" si="646"/>
        <v>0</v>
      </c>
      <c r="AG231" s="116">
        <f t="shared" ca="1" si="646"/>
        <v>0</v>
      </c>
      <c r="AH231" s="116">
        <f t="shared" ca="1" si="646"/>
        <v>0</v>
      </c>
      <c r="AI231" s="116">
        <f t="shared" ca="1" si="646"/>
        <v>0</v>
      </c>
      <c r="AJ231" s="116">
        <f t="shared" ca="1" si="646"/>
        <v>0</v>
      </c>
      <c r="AK231" s="116">
        <f t="shared" ca="1" si="646"/>
        <v>0</v>
      </c>
      <c r="AL231" s="116">
        <f t="shared" ca="1" si="646"/>
        <v>0</v>
      </c>
      <c r="AM231" s="116">
        <f t="shared" ca="1" si="646"/>
        <v>0</v>
      </c>
      <c r="AN231" s="116">
        <f t="shared" ca="1" si="646"/>
        <v>0</v>
      </c>
      <c r="AO231" s="67"/>
      <c r="AR231" s="167"/>
      <c r="AS231" s="167"/>
      <c r="AT231" s="167"/>
      <c r="AU231" s="111"/>
      <c r="AV231" s="111"/>
      <c r="AW231" s="111"/>
      <c r="AX231" s="111"/>
      <c r="AY231" s="111"/>
      <c r="AZ231" s="111"/>
      <c r="BA231" s="111"/>
      <c r="BB231" s="111"/>
      <c r="BC231" s="111"/>
      <c r="BD231" s="111"/>
      <c r="BE231" s="111"/>
      <c r="BF231" s="111"/>
      <c r="BG231" s="111"/>
      <c r="BH231" s="111"/>
      <c r="BI231" s="111"/>
    </row>
    <row r="232" spans="1:63" ht="16.8">
      <c r="A232" s="105"/>
      <c r="B232" s="106"/>
      <c r="C232" s="112"/>
      <c r="D232" s="110"/>
      <c r="E232" s="112"/>
      <c r="H232" s="76"/>
      <c r="I232" s="71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AR232" s="167"/>
      <c r="AS232" s="167"/>
      <c r="AT232" s="167"/>
      <c r="AU232" s="111"/>
      <c r="AV232" s="111"/>
      <c r="AW232" s="111"/>
      <c r="AX232" s="111"/>
      <c r="AY232" s="111"/>
      <c r="AZ232" s="111"/>
      <c r="BA232" s="111"/>
      <c r="BB232" s="111"/>
      <c r="BC232" s="111"/>
      <c r="BD232" s="111"/>
      <c r="BE232" s="111"/>
      <c r="BF232" s="111"/>
      <c r="BG232" s="111"/>
      <c r="BH232" s="111"/>
      <c r="BI232" s="111"/>
    </row>
    <row r="233" spans="1:63" ht="16.8">
      <c r="A233" s="105"/>
      <c r="B233" s="106"/>
      <c r="C233" s="112"/>
      <c r="D233" s="110"/>
      <c r="E233" s="112"/>
      <c r="G233" s="100" t="s">
        <v>509</v>
      </c>
      <c r="H233" s="100"/>
      <c r="I233" s="116"/>
      <c r="J233" s="116"/>
      <c r="K233" s="116">
        <f ca="1">K106-K231</f>
        <v>-362807.0095891878</v>
      </c>
      <c r="L233" s="116">
        <f ca="1">L106-L231</f>
        <v>-1240053.016424235</v>
      </c>
      <c r="M233" s="116">
        <f ca="1">M106-M231</f>
        <v>620706.21304128319</v>
      </c>
      <c r="N233" s="116">
        <f ca="1">N106-N231</f>
        <v>-478310.55981805176</v>
      </c>
      <c r="O233" s="116">
        <f ca="1">O106-O231</f>
        <v>1301775.2479430139</v>
      </c>
      <c r="P233" s="116">
        <f ca="1">P106-P231</f>
        <v>1128765.3914846219</v>
      </c>
      <c r="Q233" s="116">
        <f ca="1">Q106-Q231</f>
        <v>2662380.1664473265</v>
      </c>
      <c r="R233" s="116">
        <f ca="1">R106-R231</f>
        <v>1757385.8907090314</v>
      </c>
      <c r="S233" s="116">
        <f ca="1">S106-S231</f>
        <v>1914778.8111692555</v>
      </c>
      <c r="T233" s="116">
        <f ca="1">T106-T231</f>
        <v>2548684.7673240863</v>
      </c>
      <c r="U233" s="116">
        <f ca="1">U106-U231</f>
        <v>1431465.9011687748</v>
      </c>
      <c r="V233" s="116">
        <f ca="1">V106-V231</f>
        <v>-2591567.8500284702</v>
      </c>
      <c r="W233" s="116">
        <f ca="1">W106-W231</f>
        <v>8693203.9534275532</v>
      </c>
      <c r="X233" s="116"/>
      <c r="Y233" s="116">
        <f ca="1">Y106-Y231</f>
        <v>22651366.887968361</v>
      </c>
      <c r="Z233" s="116">
        <f ca="1">W233-Y233</f>
        <v>-13958162.934540808</v>
      </c>
      <c r="AA233" s="102">
        <f ca="1">IF(Y233=0,0,Z233/Y233)</f>
        <v>-0.61621724656073229</v>
      </c>
      <c r="AB233" s="116"/>
      <c r="AC233" s="116">
        <f t="shared" ref="AC233:AN233" ca="1" si="647">AC106-AC231</f>
        <v>0</v>
      </c>
      <c r="AD233" s="116">
        <f t="shared" ca="1" si="647"/>
        <v>0</v>
      </c>
      <c r="AE233" s="116">
        <f t="shared" ca="1" si="647"/>
        <v>0</v>
      </c>
      <c r="AF233" s="116">
        <f t="shared" ca="1" si="647"/>
        <v>0</v>
      </c>
      <c r="AG233" s="116">
        <f t="shared" ca="1" si="647"/>
        <v>0</v>
      </c>
      <c r="AH233" s="116">
        <f t="shared" ca="1" si="647"/>
        <v>0</v>
      </c>
      <c r="AI233" s="116">
        <f t="shared" ca="1" si="647"/>
        <v>0</v>
      </c>
      <c r="AJ233" s="116">
        <f t="shared" ca="1" si="647"/>
        <v>0</v>
      </c>
      <c r="AK233" s="116">
        <f t="shared" ca="1" si="647"/>
        <v>0</v>
      </c>
      <c r="AL233" s="116">
        <f t="shared" ca="1" si="647"/>
        <v>0</v>
      </c>
      <c r="AM233" s="116">
        <f t="shared" ca="1" si="647"/>
        <v>0</v>
      </c>
      <c r="AN233" s="116">
        <f t="shared" ca="1" si="647"/>
        <v>0</v>
      </c>
      <c r="AO233" s="67"/>
      <c r="AR233" s="167"/>
      <c r="AS233" s="167"/>
      <c r="AT233" s="167"/>
      <c r="AU233" s="111"/>
      <c r="AV233" s="111"/>
      <c r="AW233" s="111"/>
      <c r="AX233" s="111"/>
      <c r="AY233" s="111"/>
      <c r="AZ233" s="111"/>
      <c r="BA233" s="111"/>
      <c r="BB233" s="111"/>
      <c r="BC233" s="111"/>
      <c r="BD233" s="111"/>
      <c r="BE233" s="111"/>
      <c r="BF233" s="111"/>
      <c r="BG233" s="111"/>
      <c r="BH233" s="111"/>
      <c r="BI233" s="111"/>
    </row>
    <row r="234" spans="1:63" s="55" customFormat="1" ht="16.8">
      <c r="A234" s="105"/>
      <c r="B234" s="106"/>
      <c r="C234" s="112"/>
      <c r="D234" s="110"/>
      <c r="E234" s="112"/>
      <c r="F234" s="74"/>
      <c r="G234" s="100" t="s">
        <v>508</v>
      </c>
      <c r="H234" s="100"/>
      <c r="I234" s="100"/>
      <c r="J234" s="147"/>
      <c r="K234" s="150">
        <f ca="1">IF(K$106=0,0,K233/K$106)</f>
        <v>-1.1296939786969913E-2</v>
      </c>
      <c r="L234" s="150">
        <f ca="1">IF(L$106=0,0,L233/L$106)</f>
        <v>-3.7268377523187193E-2</v>
      </c>
      <c r="M234" s="150">
        <f ca="1">IF(M$106=0,0,M233/M$106)</f>
        <v>1.784650396250187E-2</v>
      </c>
      <c r="N234" s="150">
        <f ca="1">IF(N$106=0,0,N233/N$106)</f>
        <v>-1.4124592067110491E-2</v>
      </c>
      <c r="O234" s="150">
        <f ca="1">IF(O$106=0,0,O233/O$106)</f>
        <v>3.7202034654241538E-2</v>
      </c>
      <c r="P234" s="150">
        <f ca="1">IF(P$106=0,0,P233/P$106)</f>
        <v>3.7855648173517088E-2</v>
      </c>
      <c r="Q234" s="150">
        <f ca="1">IF(Q$106=0,0,Q233/Q$106)</f>
        <v>8.2886905739469108E-2</v>
      </c>
      <c r="R234" s="150">
        <f ca="1">IF(R$106=0,0,R233/R$106)</f>
        <v>5.6415989684254493E-2</v>
      </c>
      <c r="S234" s="150">
        <f ca="1">IF(S$106=0,0,S233/S$106)</f>
        <v>6.0355786636379201E-2</v>
      </c>
      <c r="T234" s="150">
        <f ca="1">IF(T$106=0,0,T233/T$106)</f>
        <v>7.8249112595789025E-2</v>
      </c>
      <c r="U234" s="150">
        <f ca="1">IF(U$106=0,0,U233/U$106)</f>
        <v>4.3976760200488477E-2</v>
      </c>
      <c r="V234" s="150">
        <f ca="1">IF(V$106=0,0,V233/V$106)</f>
        <v>-7.9087857550680471E-2</v>
      </c>
      <c r="W234" s="150">
        <f ca="1">IF(W$106=0,0,W233/W$106)</f>
        <v>2.2191891049823553E-2</v>
      </c>
      <c r="X234" s="147"/>
      <c r="Y234" s="150">
        <f ca="1">IF(Y$106=0,0,Y233/Y$106)</f>
        <v>5.5335070569584623E-2</v>
      </c>
      <c r="Z234" s="101"/>
      <c r="AA234" s="102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67"/>
      <c r="AP234" s="111"/>
      <c r="AQ234" s="111"/>
      <c r="AR234" s="167"/>
      <c r="AS234" s="167"/>
      <c r="AT234" s="167"/>
      <c r="AU234" s="111"/>
      <c r="AV234" s="111"/>
      <c r="AW234" s="111"/>
      <c r="AX234" s="111"/>
      <c r="AY234" s="111"/>
      <c r="AZ234" s="111"/>
      <c r="BA234" s="111"/>
      <c r="BB234" s="111"/>
      <c r="BC234" s="111"/>
      <c r="BD234" s="111"/>
      <c r="BE234" s="111"/>
      <c r="BF234" s="111"/>
      <c r="BG234" s="111"/>
      <c r="BH234" s="111"/>
      <c r="BI234" s="111"/>
    </row>
    <row r="235" spans="1:63" ht="16.8">
      <c r="A235" s="105"/>
      <c r="B235" s="106"/>
      <c r="C235" s="112"/>
      <c r="D235" s="110"/>
      <c r="E235" s="112"/>
      <c r="Q235" s="96"/>
      <c r="R235" s="96"/>
      <c r="S235" s="96"/>
      <c r="T235" s="96"/>
      <c r="U235" s="96"/>
      <c r="V235" s="96"/>
      <c r="AR235" s="167"/>
      <c r="AS235" s="167"/>
      <c r="AT235" s="167"/>
      <c r="AU235" s="111"/>
      <c r="AV235" s="111"/>
      <c r="AW235" s="111"/>
      <c r="AX235" s="111"/>
      <c r="AY235" s="111"/>
      <c r="AZ235" s="111"/>
      <c r="BA235" s="111"/>
      <c r="BB235" s="111"/>
      <c r="BC235" s="111"/>
      <c r="BD235" s="111"/>
      <c r="BE235" s="111"/>
      <c r="BF235" s="111"/>
      <c r="BG235" s="111"/>
      <c r="BH235" s="111"/>
      <c r="BI235" s="111"/>
    </row>
    <row r="236" spans="1:63" ht="16.8">
      <c r="A236" s="105"/>
      <c r="B236" s="106"/>
      <c r="C236" s="112"/>
      <c r="D236" s="110"/>
      <c r="E236" s="112"/>
      <c r="F236" s="58"/>
      <c r="G236" s="94" t="s">
        <v>250</v>
      </c>
      <c r="H236" s="94"/>
      <c r="I236" s="94"/>
      <c r="J236" s="94"/>
      <c r="K236" s="94"/>
      <c r="L236" s="94"/>
      <c r="M236" s="94"/>
      <c r="N236" s="94"/>
      <c r="O236" s="94"/>
      <c r="P236" s="94"/>
      <c r="Q236" s="96"/>
      <c r="R236" s="96"/>
      <c r="S236" s="96"/>
      <c r="T236" s="96"/>
      <c r="U236" s="96"/>
      <c r="V236" s="96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R236" s="167"/>
      <c r="AS236" s="167"/>
      <c r="AT236" s="167"/>
      <c r="AU236" s="111"/>
      <c r="AV236" s="111"/>
      <c r="AW236" s="111"/>
      <c r="AX236" s="111"/>
      <c r="AY236" s="111"/>
      <c r="AZ236" s="111"/>
      <c r="BA236" s="111"/>
      <c r="BB236" s="111"/>
      <c r="BC236" s="111"/>
      <c r="BD236" s="111"/>
      <c r="BE236" s="111"/>
      <c r="BF236" s="111"/>
      <c r="BG236" s="111"/>
      <c r="BH236" s="111"/>
      <c r="BI236" s="111"/>
    </row>
    <row r="237" spans="1:63" ht="16.8">
      <c r="A237" s="105"/>
      <c r="B237" s="106"/>
      <c r="C237" s="112"/>
      <c r="D237" s="110"/>
      <c r="E237" s="112"/>
      <c r="F237" s="58"/>
      <c r="G237" s="68"/>
      <c r="H237" s="67"/>
      <c r="I237" s="67"/>
      <c r="J237" s="67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67"/>
      <c r="AR237" s="167"/>
      <c r="AS237" s="167"/>
      <c r="AT237" s="167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1"/>
      <c r="BH237" s="111"/>
      <c r="BI237" s="111"/>
    </row>
    <row r="238" spans="1:63" ht="17.399999999999999" thickBot="1">
      <c r="A238" s="105" t="str">
        <f>C238</f>
        <v>R_NonOpContrib</v>
      </c>
      <c r="B238" s="106"/>
      <c r="C238" s="112" t="s">
        <v>355</v>
      </c>
      <c r="D238" s="110"/>
      <c r="E238" s="112"/>
      <c r="F238" s="58"/>
      <c r="G238" s="94" t="s">
        <v>251</v>
      </c>
      <c r="H238" s="46"/>
      <c r="I238" s="67"/>
      <c r="J238" s="67"/>
      <c r="K238" s="96">
        <v>9599.17</v>
      </c>
      <c r="L238" s="96">
        <v>4526.7</v>
      </c>
      <c r="M238" s="96">
        <v>793.25</v>
      </c>
      <c r="N238" s="96">
        <v>729</v>
      </c>
      <c r="O238" s="96">
        <v>136107.44</v>
      </c>
      <c r="P238" s="96">
        <v>30747.85856209154</v>
      </c>
      <c r="Q238" s="96">
        <v>30747.85856209154</v>
      </c>
      <c r="R238" s="96">
        <v>28764.125751633943</v>
      </c>
      <c r="S238" s="96">
        <v>30747.85856209154</v>
      </c>
      <c r="T238" s="96">
        <v>29755.992156862791</v>
      </c>
      <c r="U238" s="96">
        <v>30747.85856209154</v>
      </c>
      <c r="V238" s="96">
        <v>29755.992156862791</v>
      </c>
      <c r="W238" s="96">
        <f>SUM(K238:V238)</f>
        <v>363023.10431372572</v>
      </c>
      <c r="X238" s="96"/>
      <c r="Y238" s="96">
        <v>548417.158947872</v>
      </c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46"/>
      <c r="AP238" s="46"/>
      <c r="AQ238" s="46"/>
      <c r="AR238" s="167"/>
      <c r="AS238" s="167"/>
      <c r="AT238" s="167"/>
      <c r="AU238" s="111"/>
      <c r="AV238" s="111"/>
      <c r="AW238" s="111">
        <v>1</v>
      </c>
      <c r="AX238" s="111"/>
      <c r="AY238" s="111"/>
      <c r="AZ238" s="111"/>
      <c r="BA238" s="111"/>
      <c r="BB238" s="111"/>
      <c r="BC238" s="111"/>
      <c r="BD238" s="111"/>
      <c r="BE238" s="111"/>
      <c r="BF238" s="111"/>
      <c r="BG238" s="111"/>
      <c r="BH238" s="111"/>
      <c r="BI238" s="111"/>
    </row>
    <row r="239" spans="1:63" ht="18" thickTop="1" thickBot="1">
      <c r="A239" s="113"/>
      <c r="B239" s="114"/>
      <c r="C239" s="112" t="str">
        <f>"ACCT.FSDetail='"&amp;C238&amp;"'"</f>
        <v>ACCT.FSDetail='R_NonOpContrib'</v>
      </c>
      <c r="D239" s="110" t="s">
        <v>411</v>
      </c>
      <c r="E239" s="112"/>
      <c r="F239" s="58"/>
      <c r="G239" s="95" t="s">
        <v>328</v>
      </c>
      <c r="H239" s="58"/>
      <c r="I239" s="46"/>
      <c r="J239" s="46"/>
      <c r="K239" s="86">
        <v>0</v>
      </c>
      <c r="L239" s="86">
        <v>0</v>
      </c>
      <c r="M239" s="86">
        <v>0</v>
      </c>
      <c r="N239" s="86">
        <v>0</v>
      </c>
      <c r="O239" s="86">
        <v>0</v>
      </c>
      <c r="P239" s="86">
        <v>0</v>
      </c>
      <c r="Q239" s="86">
        <v>0</v>
      </c>
      <c r="R239" s="86">
        <v>0</v>
      </c>
      <c r="S239" s="90">
        <f t="shared" ref="S239:V240" si="648">AK239</f>
        <v>0</v>
      </c>
      <c r="T239" s="90">
        <f t="shared" si="648"/>
        <v>0</v>
      </c>
      <c r="U239" s="90">
        <f t="shared" si="648"/>
        <v>0</v>
      </c>
      <c r="V239" s="90">
        <f t="shared" si="648"/>
        <v>0</v>
      </c>
      <c r="W239" s="97">
        <f>IF(W241=0,0,1-(SUM(W240,W238)/W241))</f>
        <v>0</v>
      </c>
      <c r="X239" s="97"/>
      <c r="Y239" s="97"/>
      <c r="Z239" s="97"/>
      <c r="AA239" s="97"/>
      <c r="AB239" s="97"/>
      <c r="AC239" s="97" cm="1">
        <f t="array" ref="AC239">IF(AC$7="",0,_xll.GetData(AC$7,$AQ239))</f>
        <v>0</v>
      </c>
      <c r="AD239" s="97" cm="1">
        <f t="array" ref="AD239">IF(AD$7="",0,_xll.GetData(AD$7,$AQ239))</f>
        <v>0</v>
      </c>
      <c r="AE239" s="97" cm="1">
        <f t="array" ref="AE239">IF(AE$7="",0,_xll.GetData(AE$7,$AQ239))</f>
        <v>0</v>
      </c>
      <c r="AF239" s="97" cm="1">
        <f t="array" ref="AF239">IF(AF$7="",0,_xll.GetData(AF$7,$AQ239))</f>
        <v>0</v>
      </c>
      <c r="AG239" s="97" cm="1">
        <f t="array" ref="AG239">IF(AG$7="",0,_xll.GetData(AG$7,$AQ239))</f>
        <v>0</v>
      </c>
      <c r="AH239" s="97" cm="1">
        <f t="array" ref="AH239">IF(AH$7="",0,_xll.GetData(AH$7,$AQ239))</f>
        <v>0</v>
      </c>
      <c r="AI239" s="97" cm="1">
        <f t="array" ref="AI239">IF(AI$7="",0,_xll.GetData(AI$7,$AQ239))</f>
        <v>0</v>
      </c>
      <c r="AJ239" s="97" cm="1">
        <f t="array" ref="AJ239">IF(AJ$7="",0,_xll.GetData(AJ$7,$AQ239))</f>
        <v>0</v>
      </c>
      <c r="AK239" s="97" cm="1">
        <f t="array" ref="AK239">IF(AK$7="",0,_xll.GetData(AK$7,$AQ239))</f>
        <v>0</v>
      </c>
      <c r="AL239" s="97" cm="1">
        <f t="array" ref="AL239">IF(AL$7="",0,_xll.GetData(AL$7,$AQ239))</f>
        <v>0</v>
      </c>
      <c r="AM239" s="97" cm="1">
        <f t="array" ref="AM239">IF(AM$7="",0,_xll.GetData(AM$7,$AQ239))</f>
        <v>0</v>
      </c>
      <c r="AN239" s="97" cm="1">
        <f t="array" ref="AN239">IF(AN$7="",0,_xll.GetData(AN$7,$AQ239))</f>
        <v>0</v>
      </c>
      <c r="AO239" s="69"/>
      <c r="AP239" s="111">
        <f>AP241</f>
        <v>63</v>
      </c>
      <c r="AQ239" s="111" t="str">
        <f>"Dept="&amp;AU239&amp;" And Acct="&amp;AV239</f>
        <v>Dept=0 And Acct=54515</v>
      </c>
      <c r="AR239" s="167" t="str">
        <f>IF(OR(AU239=0,AV239=0),"NoSave","[Save]")</f>
        <v>NoSave</v>
      </c>
      <c r="AS239" s="167"/>
      <c r="AT239" s="167"/>
      <c r="AU239" s="111">
        <f>AU241</f>
        <v>0</v>
      </c>
      <c r="AV239" s="111">
        <f>AV241</f>
        <v>54515</v>
      </c>
      <c r="AW239" s="111">
        <v>1</v>
      </c>
      <c r="AX239" s="280">
        <f>IF(K$20="CYA",0,K239)</f>
        <v>0</v>
      </c>
      <c r="AY239" s="280">
        <f t="shared" ref="AY239:AY240" si="649">IF(L$20="CYA",0,L239)</f>
        <v>0</v>
      </c>
      <c r="AZ239" s="280">
        <f t="shared" ref="AZ239:AZ240" si="650">IF(M$20="CYA",0,M239)</f>
        <v>0</v>
      </c>
      <c r="BA239" s="280">
        <f t="shared" ref="BA239:BA240" si="651">IF(N$20="CYA",0,N239)</f>
        <v>0</v>
      </c>
      <c r="BB239" s="280">
        <f t="shared" ref="BB239:BB240" si="652">IF(O$20="CYA",0,O239)</f>
        <v>0</v>
      </c>
      <c r="BC239" s="280">
        <f t="shared" ref="BC239:BC240" si="653">IF(P$20="CYA",0,P239)</f>
        <v>0</v>
      </c>
      <c r="BD239" s="280">
        <f t="shared" ref="BD239:BD240" si="654">IF(Q$20="CYA",0,Q239)</f>
        <v>0</v>
      </c>
      <c r="BE239" s="280">
        <f t="shared" ref="BE239:BE240" si="655">IF(R$20="CYA",0,R239)</f>
        <v>0</v>
      </c>
      <c r="BF239" s="280">
        <f t="shared" ref="BF239:BF240" si="656">IF(S$20="CYA",0,S239)</f>
        <v>0</v>
      </c>
      <c r="BG239" s="280">
        <f t="shared" ref="BG239:BG240" si="657">IF(T$20="CYA",0,T239)</f>
        <v>0</v>
      </c>
      <c r="BH239" s="280">
        <f t="shared" ref="BH239:BH240" si="658">IF(U$20="CYA",0,U239)</f>
        <v>0</v>
      </c>
      <c r="BI239" s="280">
        <f t="shared" ref="BI239:BI240" si="659">IF(V$20="CYA",0,V239)</f>
        <v>0</v>
      </c>
      <c r="BJ239" s="90">
        <f>CB239</f>
        <v>0</v>
      </c>
      <c r="BK239" s="86">
        <v>0</v>
      </c>
    </row>
    <row r="240" spans="1:63" ht="18" thickTop="1" thickBot="1">
      <c r="A240" s="105"/>
      <c r="B240" s="106"/>
      <c r="C240" s="112" t="str">
        <f>C239</f>
        <v>ACCT.FSDetail='R_NonOpContrib'</v>
      </c>
      <c r="D240" s="110" t="s">
        <v>411</v>
      </c>
      <c r="E240" s="112"/>
      <c r="F240" s="58"/>
      <c r="G240" s="95" t="s">
        <v>329</v>
      </c>
      <c r="H240" s="58"/>
      <c r="I240" s="71"/>
      <c r="J240" s="67"/>
      <c r="K240" s="96">
        <v>0</v>
      </c>
      <c r="L240" s="96">
        <v>0</v>
      </c>
      <c r="M240" s="96">
        <v>0</v>
      </c>
      <c r="N240" s="96">
        <v>0</v>
      </c>
      <c r="O240" s="96">
        <v>0</v>
      </c>
      <c r="P240" s="96">
        <v>0</v>
      </c>
      <c r="Q240" s="96">
        <v>0</v>
      </c>
      <c r="R240" s="96">
        <v>0</v>
      </c>
      <c r="S240" s="89">
        <f t="shared" si="648"/>
        <v>0</v>
      </c>
      <c r="T240" s="89">
        <f t="shared" si="648"/>
        <v>0</v>
      </c>
      <c r="U240" s="89">
        <f t="shared" si="648"/>
        <v>0</v>
      </c>
      <c r="V240" s="89">
        <f t="shared" si="648"/>
        <v>0</v>
      </c>
      <c r="W240" s="96">
        <f>SUM(K240:V240)</f>
        <v>0</v>
      </c>
      <c r="X240" s="96"/>
      <c r="Y240" s="96"/>
      <c r="Z240" s="96"/>
      <c r="AA240" s="96"/>
      <c r="AB240" s="96"/>
      <c r="AC240" s="96" cm="1">
        <f t="array" ref="AC240">IF(AC$8="",0,_xll.GetData(AC$8,$AQ240))</f>
        <v>0</v>
      </c>
      <c r="AD240" s="96" cm="1">
        <f t="array" ref="AD240">IF(AD$8="",0,_xll.GetData(AD$8,$AQ240))</f>
        <v>0</v>
      </c>
      <c r="AE240" s="96" cm="1">
        <f t="array" ref="AE240">IF(AE$8="",0,_xll.GetData(AE$8,$AQ240))</f>
        <v>0</v>
      </c>
      <c r="AF240" s="96" cm="1">
        <f t="array" ref="AF240">IF(AF$8="",0,_xll.GetData(AF$8,$AQ240))</f>
        <v>0</v>
      </c>
      <c r="AG240" s="96" cm="1">
        <f t="array" ref="AG240">IF(AG$8="",0,_xll.GetData(AG$8,$AQ240))</f>
        <v>0</v>
      </c>
      <c r="AH240" s="96" cm="1">
        <f t="array" ref="AH240">IF(AH$8="",0,_xll.GetData(AH$8,$AQ240))</f>
        <v>0</v>
      </c>
      <c r="AI240" s="96" cm="1">
        <f t="array" ref="AI240">IF(AI$8="",0,_xll.GetData(AI$8,$AQ240))</f>
        <v>0</v>
      </c>
      <c r="AJ240" s="96" cm="1">
        <f t="array" ref="AJ240">IF(AJ$8="",0,_xll.GetData(AJ$8,$AQ240))</f>
        <v>0</v>
      </c>
      <c r="AK240" s="96" cm="1">
        <f t="array" ref="AK240">IF(AK$8="",0,_xll.GetData(AK$8,$AQ240))</f>
        <v>0</v>
      </c>
      <c r="AL240" s="96" cm="1">
        <f t="array" ref="AL240">IF(AL$8="",0,_xll.GetData(AL$8,$AQ240))</f>
        <v>0</v>
      </c>
      <c r="AM240" s="96" cm="1">
        <f t="array" ref="AM240">IF(AM$8="",0,_xll.GetData(AM$8,$AQ240))</f>
        <v>0</v>
      </c>
      <c r="AN240" s="96" cm="1">
        <f t="array" ref="AN240">IF(AN$8="",0,_xll.GetData(AN$8,$AQ240))</f>
        <v>0</v>
      </c>
      <c r="AO240" s="69"/>
      <c r="AP240" s="111">
        <f>AP241</f>
        <v>63</v>
      </c>
      <c r="AQ240" s="111" t="str">
        <f>"Dept="&amp;AU240&amp;" And Acct="&amp;AV240</f>
        <v>Dept=0 And Acct=54515</v>
      </c>
      <c r="AR240" s="167"/>
      <c r="AS240" s="167" t="str">
        <f>IF(OR(AU240=0,AV240=0),"NoSave","[Save]")</f>
        <v>NoSave</v>
      </c>
      <c r="AT240" s="167"/>
      <c r="AU240" s="111">
        <f>AU241</f>
        <v>0</v>
      </c>
      <c r="AV240" s="111">
        <f>AV241</f>
        <v>54515</v>
      </c>
      <c r="AW240" s="111">
        <v>1</v>
      </c>
      <c r="AX240" s="281">
        <f>IF(K$20="CYA",0,K240)</f>
        <v>0</v>
      </c>
      <c r="AY240" s="281">
        <f t="shared" si="649"/>
        <v>0</v>
      </c>
      <c r="AZ240" s="281">
        <f t="shared" si="650"/>
        <v>0</v>
      </c>
      <c r="BA240" s="281">
        <f t="shared" si="651"/>
        <v>0</v>
      </c>
      <c r="BB240" s="281">
        <f t="shared" si="652"/>
        <v>0</v>
      </c>
      <c r="BC240" s="281">
        <f t="shared" si="653"/>
        <v>0</v>
      </c>
      <c r="BD240" s="281">
        <f t="shared" si="654"/>
        <v>0</v>
      </c>
      <c r="BE240" s="281">
        <f t="shared" si="655"/>
        <v>0</v>
      </c>
      <c r="BF240" s="281">
        <f t="shared" si="656"/>
        <v>0</v>
      </c>
      <c r="BG240" s="281">
        <f t="shared" si="657"/>
        <v>0</v>
      </c>
      <c r="BH240" s="281">
        <f t="shared" si="658"/>
        <v>0</v>
      </c>
      <c r="BI240" s="281">
        <f t="shared" si="659"/>
        <v>0</v>
      </c>
      <c r="BJ240" s="89">
        <f>CB240</f>
        <v>0</v>
      </c>
      <c r="BK240" s="96">
        <v>0</v>
      </c>
    </row>
    <row r="241" spans="1:63" ht="17.399999999999999" thickTop="1">
      <c r="A241" s="105"/>
      <c r="B241" s="106" t="str">
        <f>C238</f>
        <v>R_NonOpContrib</v>
      </c>
      <c r="C241" s="112"/>
      <c r="D241" s="110"/>
      <c r="E241" s="112"/>
      <c r="F241" s="74"/>
      <c r="G241" s="100" t="str">
        <f>"   Total "&amp;G238</f>
        <v xml:space="preserve">   Total Unrestricted Contributions</v>
      </c>
      <c r="H241" s="100"/>
      <c r="I241" s="100"/>
      <c r="J241" s="116"/>
      <c r="K241" s="116">
        <f>IF(K$20="CYA",K238,K238*(1+K239)+K240)</f>
        <v>9599.17</v>
      </c>
      <c r="L241" s="116">
        <f>IF(L$20="CYA",L238,L238*(1+L239)+L240)</f>
        <v>4526.7</v>
      </c>
      <c r="M241" s="116">
        <f>IF(M$20="CYA",M238,M238*(1+M239)+M240)</f>
        <v>793.25</v>
      </c>
      <c r="N241" s="116">
        <f>IF(N$20="CYA",N238,N238*(1+N239)+N240)</f>
        <v>729</v>
      </c>
      <c r="O241" s="116">
        <f>IF(O$20="CYA",O238,O238*(1+O239)+O240)</f>
        <v>136107.44</v>
      </c>
      <c r="P241" s="116">
        <f>IF(P$20="CYA",P238,P238*(1+P239)+P240)</f>
        <v>30747.85856209154</v>
      </c>
      <c r="Q241" s="116">
        <f>IF(Q$20="CYA",Q238,Q238*(1+Q239)+Q240)</f>
        <v>30747.85856209154</v>
      </c>
      <c r="R241" s="116">
        <f>IF(R$20="CYA",R238,R238*(1+R239)+R240)</f>
        <v>28764.125751633943</v>
      </c>
      <c r="S241" s="116">
        <f>IF(S$20="CYA",S238,S238*(1+S239)+S240)</f>
        <v>30747.85856209154</v>
      </c>
      <c r="T241" s="116">
        <f>IF(T$20="CYA",T238,T238*(1+T239)+T240)</f>
        <v>29755.992156862791</v>
      </c>
      <c r="U241" s="116">
        <f>IF(U$20="CYA",U238,U238*(1+U239)+U240)</f>
        <v>30747.85856209154</v>
      </c>
      <c r="V241" s="116">
        <f>IF(V$20="CYA",V238,V238*(1+V239)+V240)</f>
        <v>29755.992156862791</v>
      </c>
      <c r="W241" s="116">
        <f>SUM(K241:V241)</f>
        <v>363023.10431372572</v>
      </c>
      <c r="X241" s="116"/>
      <c r="Y241" s="116">
        <f>SUM(Y238:Y240)</f>
        <v>548417.158947872</v>
      </c>
      <c r="Z241" s="116">
        <f>W241-Y241</f>
        <v>-185394.05463414628</v>
      </c>
      <c r="AA241" s="102">
        <f>IF(Y241=0,0,Z241/Y241)</f>
        <v>-0.33805297957821245</v>
      </c>
      <c r="AB241" s="116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67"/>
      <c r="AP241" s="111">
        <f>ROW(Control!D63)</f>
        <v>63</v>
      </c>
      <c r="AQ241" s="111"/>
      <c r="AR241" s="167"/>
      <c r="AS241" s="167"/>
      <c r="AT241" s="167" t="str">
        <f>IF(OR(AU241=0,AV241=0),"NoSave","[Save]")</f>
        <v>NoSave</v>
      </c>
      <c r="AU241" s="111" cm="1">
        <f t="array" ref="AU241">INDEX(Control!G$1:G$9997,$AP241)</f>
        <v>0</v>
      </c>
      <c r="AV241" s="111" cm="1">
        <f t="array" ref="AV241">INDEX(Control!I$1:I$9997,$AP241)</f>
        <v>54515</v>
      </c>
      <c r="AW241" s="111">
        <v>1</v>
      </c>
      <c r="AX241" s="281">
        <f>IF(K$20="CYA",0,K241-K238)</f>
        <v>0</v>
      </c>
      <c r="AY241" s="281">
        <f t="shared" ref="AY241" si="660">IF(L$20="CYA",0,L241-L238)</f>
        <v>0</v>
      </c>
      <c r="AZ241" s="281">
        <f t="shared" ref="AZ241" si="661">IF(M$20="CYA",0,M241-M238)</f>
        <v>0</v>
      </c>
      <c r="BA241" s="281">
        <f t="shared" ref="BA241" si="662">IF(N$20="CYA",0,N241-N238)</f>
        <v>0</v>
      </c>
      <c r="BB241" s="281">
        <f t="shared" ref="BB241" si="663">IF(O$20="CYA",0,O241-O238)</f>
        <v>0</v>
      </c>
      <c r="BC241" s="281">
        <f t="shared" ref="BC241" si="664">IF(P$20="CYA",0,P241-P238)</f>
        <v>0</v>
      </c>
      <c r="BD241" s="281">
        <f t="shared" ref="BD241" si="665">IF(Q$20="CYA",0,Q241-Q238)</f>
        <v>0</v>
      </c>
      <c r="BE241" s="281">
        <f t="shared" ref="BE241" si="666">IF(R$20="CYA",0,R241-R238)</f>
        <v>0</v>
      </c>
      <c r="BF241" s="281">
        <f t="shared" ref="BF241" si="667">IF(S$20="CYA",0,S241-S238)</f>
        <v>0</v>
      </c>
      <c r="BG241" s="281">
        <f t="shared" ref="BG241" si="668">IF(T$20="CYA",0,T241-T238)</f>
        <v>0</v>
      </c>
      <c r="BH241" s="281">
        <f t="shared" ref="BH241" si="669">IF(U$20="CYA",0,U241-U238)</f>
        <v>0</v>
      </c>
      <c r="BI241" s="281">
        <f t="shared" ref="BI241" si="670">IF(V$20="CYA",0,V241-V238)</f>
        <v>0</v>
      </c>
    </row>
    <row r="242" spans="1:63" ht="16.8">
      <c r="A242" s="105"/>
      <c r="B242" s="106"/>
      <c r="C242" s="112"/>
      <c r="D242" s="110"/>
      <c r="E242" s="112"/>
      <c r="F242" s="74"/>
      <c r="G242" s="95"/>
      <c r="H242" s="95"/>
      <c r="I242" s="95"/>
      <c r="J242" s="67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67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167"/>
      <c r="AS242" s="167"/>
      <c r="AT242" s="167"/>
      <c r="AU242" s="111"/>
      <c r="AV242" s="111"/>
      <c r="AW242" s="111"/>
      <c r="AX242" s="111"/>
      <c r="AY242" s="111"/>
      <c r="AZ242" s="111"/>
      <c r="BA242" s="111"/>
      <c r="BB242" s="111"/>
      <c r="BC242" s="111"/>
      <c r="BD242" s="111"/>
      <c r="BE242" s="111"/>
      <c r="BF242" s="111"/>
      <c r="BG242" s="111"/>
      <c r="BH242" s="111"/>
      <c r="BI242" s="111"/>
    </row>
    <row r="243" spans="1:63" ht="17.399999999999999" thickBot="1">
      <c r="A243" s="105" t="str">
        <f>C243</f>
        <v>R_NonOpRev</v>
      </c>
      <c r="B243" s="106"/>
      <c r="C243" s="112" t="s">
        <v>356</v>
      </c>
      <c r="D243" s="110"/>
      <c r="E243" s="112"/>
      <c r="F243" s="58"/>
      <c r="G243" s="95" t="s">
        <v>252</v>
      </c>
      <c r="H243" s="95"/>
      <c r="I243" s="95"/>
      <c r="J243" s="67"/>
      <c r="K243" s="96">
        <v>410958.89</v>
      </c>
      <c r="L243" s="96">
        <v>54964.040000000008</v>
      </c>
      <c r="M243" s="96">
        <v>-83227.609999999986</v>
      </c>
      <c r="N243" s="96">
        <v>-232851.64</v>
      </c>
      <c r="O243" s="96">
        <v>-282380.15000000002</v>
      </c>
      <c r="P243" s="96">
        <v>-26853.794575163422</v>
      </c>
      <c r="Q243" s="96">
        <v>-26853.794575163422</v>
      </c>
      <c r="R243" s="96">
        <v>-25121.291699346373</v>
      </c>
      <c r="S243" s="96">
        <v>-26853.794575163422</v>
      </c>
      <c r="T243" s="96">
        <v>-25987.54313725495</v>
      </c>
      <c r="U243" s="96">
        <v>-26853.794575163422</v>
      </c>
      <c r="V243" s="96">
        <v>-25987.54313725495</v>
      </c>
      <c r="W243" s="96">
        <f>SUM(K243:V243)</f>
        <v>-317048.0262745099</v>
      </c>
      <c r="X243" s="96"/>
      <c r="Y243" s="96">
        <v>-26631.317250119704</v>
      </c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R243" s="167"/>
      <c r="AS243" s="167"/>
      <c r="AT243" s="167"/>
      <c r="AU243" s="111"/>
      <c r="AV243" s="111"/>
      <c r="AW243" s="111">
        <v>1</v>
      </c>
      <c r="AX243" s="111"/>
      <c r="AY243" s="111"/>
      <c r="AZ243" s="111"/>
      <c r="BA243" s="111"/>
      <c r="BB243" s="111"/>
      <c r="BC243" s="111"/>
      <c r="BD243" s="111"/>
      <c r="BE243" s="111"/>
      <c r="BF243" s="111"/>
      <c r="BG243" s="111"/>
      <c r="BH243" s="111"/>
      <c r="BI243" s="111"/>
    </row>
    <row r="244" spans="1:63" ht="18" thickTop="1" thickBot="1">
      <c r="A244" s="113"/>
      <c r="B244" s="114"/>
      <c r="C244" s="112" t="str">
        <f>"ACCT.FSDetail='"&amp;C243&amp;"'"</f>
        <v>ACCT.FSDetail='R_NonOpRev'</v>
      </c>
      <c r="D244" s="110" t="s">
        <v>411</v>
      </c>
      <c r="E244" s="112"/>
      <c r="F244" s="58"/>
      <c r="G244" s="95" t="s">
        <v>328</v>
      </c>
      <c r="H244" s="95"/>
      <c r="I244" s="95"/>
      <c r="J244" s="46"/>
      <c r="K244" s="86">
        <v>0</v>
      </c>
      <c r="L244" s="86">
        <v>0</v>
      </c>
      <c r="M244" s="86">
        <v>0</v>
      </c>
      <c r="N244" s="86">
        <v>0</v>
      </c>
      <c r="O244" s="86">
        <v>0</v>
      </c>
      <c r="P244" s="86">
        <v>0</v>
      </c>
      <c r="Q244" s="86">
        <v>0</v>
      </c>
      <c r="R244" s="86">
        <v>0</v>
      </c>
      <c r="S244" s="90">
        <f t="shared" ref="S244:V245" si="671">AK244</f>
        <v>0</v>
      </c>
      <c r="T244" s="90">
        <f t="shared" si="671"/>
        <v>0</v>
      </c>
      <c r="U244" s="90">
        <f t="shared" si="671"/>
        <v>0</v>
      </c>
      <c r="V244" s="90">
        <f t="shared" si="671"/>
        <v>0</v>
      </c>
      <c r="W244" s="97">
        <f>IF(W246=0,0,1-(SUM(W245,W243)/W246))</f>
        <v>0</v>
      </c>
      <c r="X244" s="97"/>
      <c r="Y244" s="97"/>
      <c r="Z244" s="97"/>
      <c r="AA244" s="97"/>
      <c r="AB244" s="97"/>
      <c r="AC244" s="97" cm="1">
        <f t="array" ref="AC244">IF(AC$7="",0,_xll.GetData(AC$7,$AQ244))</f>
        <v>0</v>
      </c>
      <c r="AD244" s="97" cm="1">
        <f t="array" ref="AD244">IF(AD$7="",0,_xll.GetData(AD$7,$AQ244))</f>
        <v>0</v>
      </c>
      <c r="AE244" s="97" cm="1">
        <f t="array" ref="AE244">IF(AE$7="",0,_xll.GetData(AE$7,$AQ244))</f>
        <v>0</v>
      </c>
      <c r="AF244" s="97" cm="1">
        <f t="array" ref="AF244">IF(AF$7="",0,_xll.GetData(AF$7,$AQ244))</f>
        <v>0</v>
      </c>
      <c r="AG244" s="97" cm="1">
        <f t="array" ref="AG244">IF(AG$7="",0,_xll.GetData(AG$7,$AQ244))</f>
        <v>0</v>
      </c>
      <c r="AH244" s="97" cm="1">
        <f t="array" ref="AH244">IF(AH$7="",0,_xll.GetData(AH$7,$AQ244))</f>
        <v>0</v>
      </c>
      <c r="AI244" s="97" cm="1">
        <f t="array" ref="AI244">IF(AI$7="",0,_xll.GetData(AI$7,$AQ244))</f>
        <v>0</v>
      </c>
      <c r="AJ244" s="97" cm="1">
        <f t="array" ref="AJ244">IF(AJ$7="",0,_xll.GetData(AJ$7,$AQ244))</f>
        <v>0</v>
      </c>
      <c r="AK244" s="97" cm="1">
        <f t="array" ref="AK244">IF(AK$7="",0,_xll.GetData(AK$7,$AQ244))</f>
        <v>0</v>
      </c>
      <c r="AL244" s="97" cm="1">
        <f t="array" ref="AL244">IF(AL$7="",0,_xll.GetData(AL$7,$AQ244))</f>
        <v>0</v>
      </c>
      <c r="AM244" s="97" cm="1">
        <f t="array" ref="AM244">IF(AM$7="",0,_xll.GetData(AM$7,$AQ244))</f>
        <v>0</v>
      </c>
      <c r="AN244" s="97" cm="1">
        <f t="array" ref="AN244">IF(AN$7="",0,_xll.GetData(AN$7,$AQ244))</f>
        <v>0</v>
      </c>
      <c r="AO244" s="46"/>
      <c r="AP244" s="111">
        <f>AP246</f>
        <v>64</v>
      </c>
      <c r="AQ244" s="111" t="str">
        <f>"Dept="&amp;AU244&amp;" And Acct="&amp;AV244</f>
        <v>Dept=0 And Acct=54517</v>
      </c>
      <c r="AR244" s="167" t="str">
        <f>IF(OR(AU244=0,AV244=0),"NoSave","[Save]")</f>
        <v>NoSave</v>
      </c>
      <c r="AS244" s="167"/>
      <c r="AT244" s="167"/>
      <c r="AU244" s="111">
        <f>AU246</f>
        <v>0</v>
      </c>
      <c r="AV244" s="111">
        <f>AV246</f>
        <v>54517</v>
      </c>
      <c r="AW244" s="111">
        <v>1</v>
      </c>
      <c r="AX244" s="280">
        <f>IF(K$20="CYA",0,K244)</f>
        <v>0</v>
      </c>
      <c r="AY244" s="280">
        <f t="shared" ref="AY244:AY245" si="672">IF(L$20="CYA",0,L244)</f>
        <v>0</v>
      </c>
      <c r="AZ244" s="280">
        <f t="shared" ref="AZ244:AZ245" si="673">IF(M$20="CYA",0,M244)</f>
        <v>0</v>
      </c>
      <c r="BA244" s="280">
        <f t="shared" ref="BA244:BA245" si="674">IF(N$20="CYA",0,N244)</f>
        <v>0</v>
      </c>
      <c r="BB244" s="280">
        <f t="shared" ref="BB244:BB245" si="675">IF(O$20="CYA",0,O244)</f>
        <v>0</v>
      </c>
      <c r="BC244" s="280">
        <f t="shared" ref="BC244:BC245" si="676">IF(P$20="CYA",0,P244)</f>
        <v>0</v>
      </c>
      <c r="BD244" s="280">
        <f t="shared" ref="BD244:BD245" si="677">IF(Q$20="CYA",0,Q244)</f>
        <v>0</v>
      </c>
      <c r="BE244" s="280">
        <f t="shared" ref="BE244:BE245" si="678">IF(R$20="CYA",0,R244)</f>
        <v>0</v>
      </c>
      <c r="BF244" s="280">
        <f t="shared" ref="BF244:BF245" si="679">IF(S$20="CYA",0,S244)</f>
        <v>0</v>
      </c>
      <c r="BG244" s="280">
        <f t="shared" ref="BG244:BG245" si="680">IF(T$20="CYA",0,T244)</f>
        <v>0</v>
      </c>
      <c r="BH244" s="280">
        <f t="shared" ref="BH244:BH245" si="681">IF(U$20="CYA",0,U244)</f>
        <v>0</v>
      </c>
      <c r="BI244" s="280">
        <f t="shared" ref="BI244:BI245" si="682">IF(V$20="CYA",0,V244)</f>
        <v>0</v>
      </c>
      <c r="BJ244" s="90">
        <f>CB244</f>
        <v>0</v>
      </c>
      <c r="BK244" s="86">
        <v>0</v>
      </c>
    </row>
    <row r="245" spans="1:63" ht="18" thickTop="1" thickBot="1">
      <c r="A245" s="105"/>
      <c r="B245" s="106"/>
      <c r="C245" s="112" t="str">
        <f>C244</f>
        <v>ACCT.FSDetail='R_NonOpRev'</v>
      </c>
      <c r="D245" s="110" t="s">
        <v>411</v>
      </c>
      <c r="E245" s="112"/>
      <c r="F245" s="58"/>
      <c r="G245" s="95" t="s">
        <v>329</v>
      </c>
      <c r="H245" s="95"/>
      <c r="I245" s="95"/>
      <c r="J245" s="67"/>
      <c r="K245" s="96">
        <v>0</v>
      </c>
      <c r="L245" s="96">
        <v>0</v>
      </c>
      <c r="M245" s="96">
        <v>0</v>
      </c>
      <c r="N245" s="96">
        <v>0</v>
      </c>
      <c r="O245" s="96">
        <v>0</v>
      </c>
      <c r="P245" s="96">
        <v>0</v>
      </c>
      <c r="Q245" s="96">
        <v>0</v>
      </c>
      <c r="R245" s="96">
        <v>0</v>
      </c>
      <c r="S245" s="89">
        <f t="shared" si="671"/>
        <v>0</v>
      </c>
      <c r="T245" s="89">
        <f t="shared" si="671"/>
        <v>0</v>
      </c>
      <c r="U245" s="89">
        <f t="shared" si="671"/>
        <v>0</v>
      </c>
      <c r="V245" s="89">
        <f t="shared" si="671"/>
        <v>0</v>
      </c>
      <c r="W245" s="96">
        <f>SUM(K245:V245)</f>
        <v>0</v>
      </c>
      <c r="X245" s="96"/>
      <c r="Y245" s="96"/>
      <c r="Z245" s="96"/>
      <c r="AA245" s="96"/>
      <c r="AB245" s="96"/>
      <c r="AC245" s="96" cm="1">
        <f t="array" ref="AC245">IF(AC$8="",0,_xll.GetData(AC$8,$AQ245))</f>
        <v>0</v>
      </c>
      <c r="AD245" s="96" cm="1">
        <f t="array" ref="AD245">IF(AD$8="",0,_xll.GetData(AD$8,$AQ245))</f>
        <v>0</v>
      </c>
      <c r="AE245" s="96" cm="1">
        <f t="array" ref="AE245">IF(AE$8="",0,_xll.GetData(AE$8,$AQ245))</f>
        <v>0</v>
      </c>
      <c r="AF245" s="96" cm="1">
        <f t="array" ref="AF245">IF(AF$8="",0,_xll.GetData(AF$8,$AQ245))</f>
        <v>0</v>
      </c>
      <c r="AG245" s="96" cm="1">
        <f t="array" ref="AG245">IF(AG$8="",0,_xll.GetData(AG$8,$AQ245))</f>
        <v>0</v>
      </c>
      <c r="AH245" s="96" cm="1">
        <f t="array" ref="AH245">IF(AH$8="",0,_xll.GetData(AH$8,$AQ245))</f>
        <v>0</v>
      </c>
      <c r="AI245" s="96" cm="1">
        <f t="array" ref="AI245">IF(AI$8="",0,_xll.GetData(AI$8,$AQ245))</f>
        <v>0</v>
      </c>
      <c r="AJ245" s="96" cm="1">
        <f t="array" ref="AJ245">IF(AJ$8="",0,_xll.GetData(AJ$8,$AQ245))</f>
        <v>0</v>
      </c>
      <c r="AK245" s="96" cm="1">
        <f t="array" ref="AK245">IF(AK$8="",0,_xll.GetData(AK$8,$AQ245))</f>
        <v>0</v>
      </c>
      <c r="AL245" s="96" cm="1">
        <f t="array" ref="AL245">IF(AL$8="",0,_xll.GetData(AL$8,$AQ245))</f>
        <v>0</v>
      </c>
      <c r="AM245" s="96" cm="1">
        <f t="array" ref="AM245">IF(AM$8="",0,_xll.GetData(AM$8,$AQ245))</f>
        <v>0</v>
      </c>
      <c r="AN245" s="96" cm="1">
        <f t="array" ref="AN245">IF(AN$8="",0,_xll.GetData(AN$8,$AQ245))</f>
        <v>0</v>
      </c>
      <c r="AO245" s="69"/>
      <c r="AP245" s="111">
        <f>AP246</f>
        <v>64</v>
      </c>
      <c r="AQ245" s="111" t="str">
        <f>"Dept="&amp;AU245&amp;" And Acct="&amp;AV245</f>
        <v>Dept=0 And Acct=54517</v>
      </c>
      <c r="AR245" s="167"/>
      <c r="AS245" s="167" t="str">
        <f>IF(OR(AU245=0,AV245=0),"NoSave","[Save]")</f>
        <v>NoSave</v>
      </c>
      <c r="AT245" s="167"/>
      <c r="AU245" s="111">
        <f>AU246</f>
        <v>0</v>
      </c>
      <c r="AV245" s="111">
        <f>AV246</f>
        <v>54517</v>
      </c>
      <c r="AW245" s="111">
        <v>1</v>
      </c>
      <c r="AX245" s="281">
        <f>IF(K$20="CYA",0,K245)</f>
        <v>0</v>
      </c>
      <c r="AY245" s="281">
        <f t="shared" si="672"/>
        <v>0</v>
      </c>
      <c r="AZ245" s="281">
        <f t="shared" si="673"/>
        <v>0</v>
      </c>
      <c r="BA245" s="281">
        <f t="shared" si="674"/>
        <v>0</v>
      </c>
      <c r="BB245" s="281">
        <f t="shared" si="675"/>
        <v>0</v>
      </c>
      <c r="BC245" s="281">
        <f t="shared" si="676"/>
        <v>0</v>
      </c>
      <c r="BD245" s="281">
        <f t="shared" si="677"/>
        <v>0</v>
      </c>
      <c r="BE245" s="281">
        <f t="shared" si="678"/>
        <v>0</v>
      </c>
      <c r="BF245" s="281">
        <f t="shared" si="679"/>
        <v>0</v>
      </c>
      <c r="BG245" s="281">
        <f t="shared" si="680"/>
        <v>0</v>
      </c>
      <c r="BH245" s="281">
        <f t="shared" si="681"/>
        <v>0</v>
      </c>
      <c r="BI245" s="281">
        <f t="shared" si="682"/>
        <v>0</v>
      </c>
      <c r="BJ245" s="89">
        <f>CB245</f>
        <v>0</v>
      </c>
      <c r="BK245" s="96">
        <v>0</v>
      </c>
    </row>
    <row r="246" spans="1:63" ht="17.399999999999999" thickTop="1">
      <c r="A246" s="105"/>
      <c r="B246" s="106" t="str">
        <f>C243</f>
        <v>R_NonOpRev</v>
      </c>
      <c r="C246" s="112"/>
      <c r="D246" s="110"/>
      <c r="E246" s="112"/>
      <c r="F246" s="74"/>
      <c r="G246" s="100" t="str">
        <f>"   Total "&amp;G243</f>
        <v xml:space="preserve">   Total Other NonOperating Revenue\Expense</v>
      </c>
      <c r="H246" s="100"/>
      <c r="I246" s="116"/>
      <c r="J246" s="116"/>
      <c r="K246" s="116">
        <f>IF(K$20="CYA",K243,K243*(1+K244)+K245)</f>
        <v>410958.89</v>
      </c>
      <c r="L246" s="116">
        <f>IF(L$20="CYA",L243,L243*(1+L244)+L245)</f>
        <v>54964.040000000008</v>
      </c>
      <c r="M246" s="116">
        <f>IF(M$20="CYA",M243,M243*(1+M244)+M245)</f>
        <v>-83227.609999999986</v>
      </c>
      <c r="N246" s="116">
        <f>IF(N$20="CYA",N243,N243*(1+N244)+N245)</f>
        <v>-232851.64</v>
      </c>
      <c r="O246" s="116">
        <f>IF(O$20="CYA",O243,O243*(1+O244)+O245)</f>
        <v>-282380.15000000002</v>
      </c>
      <c r="P246" s="116">
        <f>IF(P$20="CYA",P243,P243*(1+P244)+P245)</f>
        <v>-26853.794575163422</v>
      </c>
      <c r="Q246" s="116">
        <f>IF(Q$20="CYA",Q243,Q243*(1+Q244)+Q245)</f>
        <v>-26853.794575163422</v>
      </c>
      <c r="R246" s="116">
        <f>IF(R$20="CYA",R243,R243*(1+R244)+R245)</f>
        <v>-25121.291699346373</v>
      </c>
      <c r="S246" s="116">
        <f>IF(S$20="CYA",S243,S243*(1+S244)+S245)</f>
        <v>-26853.794575163422</v>
      </c>
      <c r="T246" s="116">
        <f>IF(T$20="CYA",T243,T243*(1+T244)+T245)</f>
        <v>-25987.54313725495</v>
      </c>
      <c r="U246" s="116">
        <f>IF(U$20="CYA",U243,U243*(1+U244)+U245)</f>
        <v>-26853.794575163422</v>
      </c>
      <c r="V246" s="116">
        <f>IF(V$20="CYA",V243,V243*(1+V244)+V245)</f>
        <v>-25987.54313725495</v>
      </c>
      <c r="W246" s="116">
        <f>SUM(K246:V246)</f>
        <v>-317048.0262745099</v>
      </c>
      <c r="X246" s="116"/>
      <c r="Y246" s="116">
        <f>SUM(Y243:Y245)</f>
        <v>-26631.317250119704</v>
      </c>
      <c r="Z246" s="116">
        <f>W246-Y246</f>
        <v>-290416.70902439021</v>
      </c>
      <c r="AA246" s="102">
        <f>IF(Y246=0,0,Z246/Y246)</f>
        <v>10.90508239967307</v>
      </c>
      <c r="AB246" s="116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67"/>
      <c r="AP246" s="111">
        <f>ROW(Control!D64)</f>
        <v>64</v>
      </c>
      <c r="AQ246" s="111"/>
      <c r="AR246" s="167"/>
      <c r="AS246" s="167"/>
      <c r="AT246" s="167" t="str">
        <f>IF(OR(AU246=0,AV246=0),"NoSave","[Save]")</f>
        <v>NoSave</v>
      </c>
      <c r="AU246" s="111" cm="1">
        <f t="array" ref="AU246">INDEX(Control!G$1:G$9997,$AP246)</f>
        <v>0</v>
      </c>
      <c r="AV246" s="111" cm="1">
        <f t="array" ref="AV246">INDEX(Control!I$1:I$9997,$AP246)</f>
        <v>54517</v>
      </c>
      <c r="AW246" s="111">
        <v>1</v>
      </c>
      <c r="AX246" s="281">
        <f>IF(K$20="CYA",0,K246-K243)</f>
        <v>0</v>
      </c>
      <c r="AY246" s="281">
        <f t="shared" ref="AY246" si="683">IF(L$20="CYA",0,L246-L243)</f>
        <v>0</v>
      </c>
      <c r="AZ246" s="281">
        <f t="shared" ref="AZ246" si="684">IF(M$20="CYA",0,M246-M243)</f>
        <v>0</v>
      </c>
      <c r="BA246" s="281">
        <f t="shared" ref="BA246" si="685">IF(N$20="CYA",0,N246-N243)</f>
        <v>0</v>
      </c>
      <c r="BB246" s="281">
        <f t="shared" ref="BB246" si="686">IF(O$20="CYA",0,O246-O243)</f>
        <v>0</v>
      </c>
      <c r="BC246" s="281">
        <f t="shared" ref="BC246" si="687">IF(P$20="CYA",0,P246-P243)</f>
        <v>0</v>
      </c>
      <c r="BD246" s="281">
        <f t="shared" ref="BD246" si="688">IF(Q$20="CYA",0,Q246-Q243)</f>
        <v>0</v>
      </c>
      <c r="BE246" s="281">
        <f t="shared" ref="BE246" si="689">IF(R$20="CYA",0,R246-R243)</f>
        <v>0</v>
      </c>
      <c r="BF246" s="281">
        <f t="shared" ref="BF246" si="690">IF(S$20="CYA",0,S246-S243)</f>
        <v>0</v>
      </c>
      <c r="BG246" s="281">
        <f t="shared" ref="BG246" si="691">IF(T$20="CYA",0,T246-T243)</f>
        <v>0</v>
      </c>
      <c r="BH246" s="281">
        <f t="shared" ref="BH246" si="692">IF(U$20="CYA",0,U246-U243)</f>
        <v>0</v>
      </c>
      <c r="BI246" s="281">
        <f t="shared" ref="BI246" si="693">IF(V$20="CYA",0,V246-V243)</f>
        <v>0</v>
      </c>
    </row>
    <row r="247" spans="1:63" ht="16.8">
      <c r="A247" s="105"/>
      <c r="B247" s="106"/>
      <c r="C247" s="112"/>
      <c r="D247" s="110"/>
      <c r="E247" s="112"/>
      <c r="F247" s="74"/>
      <c r="G247" s="95"/>
      <c r="H247" s="95"/>
      <c r="I247" s="95"/>
      <c r="J247" s="67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38"/>
      <c r="X247" s="38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167"/>
      <c r="AS247" s="167"/>
      <c r="AT247" s="167"/>
      <c r="AU247" s="111"/>
      <c r="AV247" s="111"/>
      <c r="AW247" s="111"/>
      <c r="AX247" s="111"/>
      <c r="AY247" s="111"/>
      <c r="AZ247" s="111"/>
      <c r="BA247" s="111"/>
      <c r="BB247" s="111"/>
      <c r="BC247" s="111"/>
      <c r="BD247" s="111"/>
      <c r="BE247" s="111"/>
      <c r="BF247" s="111"/>
      <c r="BG247" s="111"/>
      <c r="BH247" s="111"/>
      <c r="BI247" s="111"/>
    </row>
    <row r="248" spans="1:63" ht="17.399999999999999" thickBot="1">
      <c r="A248" s="105" t="str">
        <f>C248</f>
        <v>R_NonOpInvest</v>
      </c>
      <c r="B248" s="106"/>
      <c r="C248" s="112" t="s">
        <v>357</v>
      </c>
      <c r="D248" s="110"/>
      <c r="E248" s="112"/>
      <c r="F248" s="58"/>
      <c r="G248" s="95" t="s">
        <v>253</v>
      </c>
      <c r="H248" s="95"/>
      <c r="I248" s="95"/>
      <c r="J248" s="67"/>
      <c r="K248" s="96">
        <v>299245.15999999997</v>
      </c>
      <c r="L248" s="96">
        <v>59179.489999999991</v>
      </c>
      <c r="M248" s="96">
        <v>-3706434.52</v>
      </c>
      <c r="N248" s="96">
        <v>771733.18</v>
      </c>
      <c r="O248" s="96">
        <v>4127.6699999999983</v>
      </c>
      <c r="P248" s="96">
        <v>-521154.37660130713</v>
      </c>
      <c r="Q248" s="96">
        <v>-521154.37660130713</v>
      </c>
      <c r="R248" s="96">
        <v>-487531.51359477162</v>
      </c>
      <c r="S248" s="96">
        <v>-521154.37660130713</v>
      </c>
      <c r="T248" s="96">
        <v>-504342.94509803929</v>
      </c>
      <c r="U248" s="96">
        <v>-521154.37660130713</v>
      </c>
      <c r="V248" s="96">
        <v>-504342.94509803929</v>
      </c>
      <c r="W248" s="96">
        <f>SUM(K248:V248)</f>
        <v>-6152983.9301960794</v>
      </c>
      <c r="Y248" s="47">
        <v>-3575862.0784887606</v>
      </c>
      <c r="AR248" s="167"/>
      <c r="AS248" s="167"/>
      <c r="AT248" s="167"/>
      <c r="AU248" s="111"/>
      <c r="AV248" s="111"/>
      <c r="AW248" s="111">
        <v>1</v>
      </c>
      <c r="AX248" s="111"/>
      <c r="AY248" s="111"/>
      <c r="AZ248" s="111"/>
      <c r="BA248" s="111"/>
      <c r="BB248" s="111"/>
      <c r="BC248" s="111"/>
      <c r="BD248" s="111"/>
      <c r="BE248" s="111"/>
      <c r="BF248" s="111"/>
      <c r="BG248" s="111"/>
      <c r="BH248" s="111"/>
      <c r="BI248" s="111"/>
    </row>
    <row r="249" spans="1:63" ht="18" thickTop="1" thickBot="1">
      <c r="A249" s="113"/>
      <c r="B249" s="114"/>
      <c r="C249" s="112" t="str">
        <f>"ACCT.FSDetail='"&amp;C248&amp;"'"</f>
        <v>ACCT.FSDetail='R_NonOpInvest'</v>
      </c>
      <c r="D249" s="110" t="s">
        <v>411</v>
      </c>
      <c r="E249" s="112"/>
      <c r="F249" s="58"/>
      <c r="G249" s="95" t="s">
        <v>328</v>
      </c>
      <c r="H249" s="95"/>
      <c r="I249" s="95"/>
      <c r="J249" s="46"/>
      <c r="K249" s="86">
        <v>0</v>
      </c>
      <c r="L249" s="86">
        <v>0</v>
      </c>
      <c r="M249" s="86">
        <v>0</v>
      </c>
      <c r="N249" s="86">
        <v>0</v>
      </c>
      <c r="O249" s="86">
        <v>0</v>
      </c>
      <c r="P249" s="86">
        <v>0</v>
      </c>
      <c r="Q249" s="86">
        <v>0</v>
      </c>
      <c r="R249" s="86">
        <v>0</v>
      </c>
      <c r="S249" s="90">
        <f t="shared" ref="S249:V250" si="694">AK249</f>
        <v>0</v>
      </c>
      <c r="T249" s="90">
        <f t="shared" si="694"/>
        <v>0</v>
      </c>
      <c r="U249" s="90">
        <f t="shared" si="694"/>
        <v>0</v>
      </c>
      <c r="V249" s="90">
        <f t="shared" si="694"/>
        <v>0</v>
      </c>
      <c r="W249" s="97">
        <f>IF(W251=0,0,1-(SUM(W250,W248)/W251))</f>
        <v>0</v>
      </c>
      <c r="X249" s="46"/>
      <c r="Y249" s="46"/>
      <c r="Z249" s="46"/>
      <c r="AA249" s="46"/>
      <c r="AB249" s="46"/>
      <c r="AC249" s="97" cm="1">
        <f t="array" ref="AC249">IF(AC$7="",0,_xll.GetData(AC$7,$AQ249))</f>
        <v>0</v>
      </c>
      <c r="AD249" s="97" cm="1">
        <f t="array" ref="AD249">IF(AD$7="",0,_xll.GetData(AD$7,$AQ249))</f>
        <v>0</v>
      </c>
      <c r="AE249" s="97" cm="1">
        <f t="array" ref="AE249">IF(AE$7="",0,_xll.GetData(AE$7,$AQ249))</f>
        <v>0</v>
      </c>
      <c r="AF249" s="97" cm="1">
        <f t="array" ref="AF249">IF(AF$7="",0,_xll.GetData(AF$7,$AQ249))</f>
        <v>0</v>
      </c>
      <c r="AG249" s="97" cm="1">
        <f t="array" ref="AG249">IF(AG$7="",0,_xll.GetData(AG$7,$AQ249))</f>
        <v>0</v>
      </c>
      <c r="AH249" s="97" cm="1">
        <f t="array" ref="AH249">IF(AH$7="",0,_xll.GetData(AH$7,$AQ249))</f>
        <v>0</v>
      </c>
      <c r="AI249" s="97" cm="1">
        <f t="array" ref="AI249">IF(AI$7="",0,_xll.GetData(AI$7,$AQ249))</f>
        <v>0</v>
      </c>
      <c r="AJ249" s="97" cm="1">
        <f t="array" ref="AJ249">IF(AJ$7="",0,_xll.GetData(AJ$7,$AQ249))</f>
        <v>0</v>
      </c>
      <c r="AK249" s="97" cm="1">
        <f t="array" ref="AK249">IF(AK$7="",0,_xll.GetData(AK$7,$AQ249))</f>
        <v>0</v>
      </c>
      <c r="AL249" s="97" cm="1">
        <f t="array" ref="AL249">IF(AL$7="",0,_xll.GetData(AL$7,$AQ249))</f>
        <v>0</v>
      </c>
      <c r="AM249" s="97" cm="1">
        <f t="array" ref="AM249">IF(AM$7="",0,_xll.GetData(AM$7,$AQ249))</f>
        <v>0</v>
      </c>
      <c r="AN249" s="97" cm="1">
        <f t="array" ref="AN249">IF(AN$7="",0,_xll.GetData(AN$7,$AQ249))</f>
        <v>0</v>
      </c>
      <c r="AO249" s="46"/>
      <c r="AP249" s="111">
        <f>AP251</f>
        <v>65</v>
      </c>
      <c r="AQ249" s="111" t="str">
        <f>"Dept="&amp;AU249&amp;" And Acct="&amp;AV249</f>
        <v>Dept=0 And Acct=54510</v>
      </c>
      <c r="AR249" s="167" t="str">
        <f>IF(OR(AU249=0,AV249=0),"NoSave","[Save]")</f>
        <v>NoSave</v>
      </c>
      <c r="AS249" s="167"/>
      <c r="AT249" s="167"/>
      <c r="AU249" s="111">
        <f>AU251</f>
        <v>0</v>
      </c>
      <c r="AV249" s="111">
        <f>AV251</f>
        <v>54510</v>
      </c>
      <c r="AW249" s="111">
        <v>1</v>
      </c>
      <c r="AX249" s="280">
        <f>IF(K$20="CYA",0,K249)</f>
        <v>0</v>
      </c>
      <c r="AY249" s="280">
        <f t="shared" ref="AY249:AY250" si="695">IF(L$20="CYA",0,L249)</f>
        <v>0</v>
      </c>
      <c r="AZ249" s="280">
        <f t="shared" ref="AZ249:AZ250" si="696">IF(M$20="CYA",0,M249)</f>
        <v>0</v>
      </c>
      <c r="BA249" s="280">
        <f t="shared" ref="BA249:BA250" si="697">IF(N$20="CYA",0,N249)</f>
        <v>0</v>
      </c>
      <c r="BB249" s="280">
        <f t="shared" ref="BB249:BB250" si="698">IF(O$20="CYA",0,O249)</f>
        <v>0</v>
      </c>
      <c r="BC249" s="280">
        <f t="shared" ref="BC249:BC250" si="699">IF(P$20="CYA",0,P249)</f>
        <v>0</v>
      </c>
      <c r="BD249" s="280">
        <f t="shared" ref="BD249:BD250" si="700">IF(Q$20="CYA",0,Q249)</f>
        <v>0</v>
      </c>
      <c r="BE249" s="280">
        <f t="shared" ref="BE249:BE250" si="701">IF(R$20="CYA",0,R249)</f>
        <v>0</v>
      </c>
      <c r="BF249" s="280">
        <f t="shared" ref="BF249:BF250" si="702">IF(S$20="CYA",0,S249)</f>
        <v>0</v>
      </c>
      <c r="BG249" s="280">
        <f t="shared" ref="BG249:BG250" si="703">IF(T$20="CYA",0,T249)</f>
        <v>0</v>
      </c>
      <c r="BH249" s="280">
        <f t="shared" ref="BH249:BH250" si="704">IF(U$20="CYA",0,U249)</f>
        <v>0</v>
      </c>
      <c r="BI249" s="280">
        <f t="shared" ref="BI249:BI250" si="705">IF(V$20="CYA",0,V249)</f>
        <v>0</v>
      </c>
      <c r="BJ249" s="90">
        <f>CB249</f>
        <v>0</v>
      </c>
      <c r="BK249" s="86">
        <v>0</v>
      </c>
    </row>
    <row r="250" spans="1:63" ht="18" thickTop="1" thickBot="1">
      <c r="A250" s="105"/>
      <c r="B250" s="106"/>
      <c r="C250" s="112" t="str">
        <f>C249</f>
        <v>ACCT.FSDetail='R_NonOpInvest'</v>
      </c>
      <c r="D250" s="110" t="s">
        <v>411</v>
      </c>
      <c r="E250" s="112"/>
      <c r="F250" s="58"/>
      <c r="G250" s="95" t="s">
        <v>329</v>
      </c>
      <c r="H250" s="95"/>
      <c r="I250" s="95"/>
      <c r="J250" s="67"/>
      <c r="K250" s="96">
        <v>0</v>
      </c>
      <c r="L250" s="96">
        <v>0</v>
      </c>
      <c r="M250" s="96">
        <v>0</v>
      </c>
      <c r="N250" s="96">
        <v>0</v>
      </c>
      <c r="O250" s="96">
        <v>0</v>
      </c>
      <c r="P250" s="96">
        <v>0</v>
      </c>
      <c r="Q250" s="96">
        <v>0</v>
      </c>
      <c r="R250" s="96">
        <v>0</v>
      </c>
      <c r="S250" s="89">
        <f t="shared" si="694"/>
        <v>0</v>
      </c>
      <c r="T250" s="89">
        <f t="shared" si="694"/>
        <v>0</v>
      </c>
      <c r="U250" s="89">
        <f t="shared" si="694"/>
        <v>0</v>
      </c>
      <c r="V250" s="89">
        <f t="shared" si="694"/>
        <v>0</v>
      </c>
      <c r="W250" s="96">
        <f>SUM(K250:V250)</f>
        <v>0</v>
      </c>
      <c r="X250" s="69"/>
      <c r="Y250" s="69"/>
      <c r="Z250" s="69"/>
      <c r="AA250" s="69"/>
      <c r="AB250" s="69"/>
      <c r="AC250" s="96" cm="1">
        <f t="array" ref="AC250">IF(AC$8="",0,_xll.GetData(AC$8,$AQ250))</f>
        <v>0</v>
      </c>
      <c r="AD250" s="96" cm="1">
        <f t="array" ref="AD250">IF(AD$8="",0,_xll.GetData(AD$8,$AQ250))</f>
        <v>0</v>
      </c>
      <c r="AE250" s="96" cm="1">
        <f t="array" ref="AE250">IF(AE$8="",0,_xll.GetData(AE$8,$AQ250))</f>
        <v>0</v>
      </c>
      <c r="AF250" s="96" cm="1">
        <f t="array" ref="AF250">IF(AF$8="",0,_xll.GetData(AF$8,$AQ250))</f>
        <v>0</v>
      </c>
      <c r="AG250" s="96" cm="1">
        <f t="array" ref="AG250">IF(AG$8="",0,_xll.GetData(AG$8,$AQ250))</f>
        <v>0</v>
      </c>
      <c r="AH250" s="96" cm="1">
        <f t="array" ref="AH250">IF(AH$8="",0,_xll.GetData(AH$8,$AQ250))</f>
        <v>0</v>
      </c>
      <c r="AI250" s="96" cm="1">
        <f t="array" ref="AI250">IF(AI$8="",0,_xll.GetData(AI$8,$AQ250))</f>
        <v>0</v>
      </c>
      <c r="AJ250" s="96" cm="1">
        <f t="array" ref="AJ250">IF(AJ$8="",0,_xll.GetData(AJ$8,$AQ250))</f>
        <v>0</v>
      </c>
      <c r="AK250" s="96" cm="1">
        <f t="array" ref="AK250">IF(AK$8="",0,_xll.GetData(AK$8,$AQ250))</f>
        <v>0</v>
      </c>
      <c r="AL250" s="96" cm="1">
        <f t="array" ref="AL250">IF(AL$8="",0,_xll.GetData(AL$8,$AQ250))</f>
        <v>0</v>
      </c>
      <c r="AM250" s="96" cm="1">
        <f t="array" ref="AM250">IF(AM$8="",0,_xll.GetData(AM$8,$AQ250))</f>
        <v>0</v>
      </c>
      <c r="AN250" s="96" cm="1">
        <f t="array" ref="AN250">IF(AN$8="",0,_xll.GetData(AN$8,$AQ250))</f>
        <v>0</v>
      </c>
      <c r="AO250" s="69"/>
      <c r="AP250" s="111">
        <f>AP251</f>
        <v>65</v>
      </c>
      <c r="AQ250" s="111" t="str">
        <f>"Dept="&amp;AU250&amp;" And Acct="&amp;AV250</f>
        <v>Dept=0 And Acct=54510</v>
      </c>
      <c r="AR250" s="167"/>
      <c r="AS250" s="167" t="str">
        <f>IF(OR(AU250=0,AV250=0),"NoSave","[Save]")</f>
        <v>NoSave</v>
      </c>
      <c r="AT250" s="167"/>
      <c r="AU250" s="111">
        <f>AU251</f>
        <v>0</v>
      </c>
      <c r="AV250" s="111">
        <f>AV251</f>
        <v>54510</v>
      </c>
      <c r="AW250" s="111">
        <v>1</v>
      </c>
      <c r="AX250" s="281">
        <f>IF(K$20="CYA",0,K250)</f>
        <v>0</v>
      </c>
      <c r="AY250" s="281">
        <f t="shared" si="695"/>
        <v>0</v>
      </c>
      <c r="AZ250" s="281">
        <f t="shared" si="696"/>
        <v>0</v>
      </c>
      <c r="BA250" s="281">
        <f t="shared" si="697"/>
        <v>0</v>
      </c>
      <c r="BB250" s="281">
        <f t="shared" si="698"/>
        <v>0</v>
      </c>
      <c r="BC250" s="281">
        <f t="shared" si="699"/>
        <v>0</v>
      </c>
      <c r="BD250" s="281">
        <f t="shared" si="700"/>
        <v>0</v>
      </c>
      <c r="BE250" s="281">
        <f t="shared" si="701"/>
        <v>0</v>
      </c>
      <c r="BF250" s="281">
        <f t="shared" si="702"/>
        <v>0</v>
      </c>
      <c r="BG250" s="281">
        <f t="shared" si="703"/>
        <v>0</v>
      </c>
      <c r="BH250" s="281">
        <f t="shared" si="704"/>
        <v>0</v>
      </c>
      <c r="BI250" s="281">
        <f t="shared" si="705"/>
        <v>0</v>
      </c>
      <c r="BJ250" s="89">
        <f>CB250</f>
        <v>0</v>
      </c>
      <c r="BK250" s="96">
        <v>0</v>
      </c>
    </row>
    <row r="251" spans="1:63" ht="17.399999999999999" thickTop="1">
      <c r="A251" s="105"/>
      <c r="B251" s="106" t="str">
        <f>C248</f>
        <v>R_NonOpInvest</v>
      </c>
      <c r="C251" s="112"/>
      <c r="D251" s="110"/>
      <c r="E251" s="112"/>
      <c r="F251" s="74"/>
      <c r="G251" s="100" t="str">
        <f>"   Total "&amp;G248</f>
        <v xml:space="preserve">   Total Investment Income</v>
      </c>
      <c r="H251" s="100"/>
      <c r="I251" s="116"/>
      <c r="J251" s="116"/>
      <c r="K251" s="116">
        <f>IF(K$20="CYA",K248,K248*(1+K249)+K250)</f>
        <v>299245.15999999997</v>
      </c>
      <c r="L251" s="116">
        <f>IF(L$20="CYA",L248,L248*(1+L249)+L250)</f>
        <v>59179.489999999991</v>
      </c>
      <c r="M251" s="116">
        <f>IF(M$20="CYA",M248,M248*(1+M249)+M250)</f>
        <v>-3706434.52</v>
      </c>
      <c r="N251" s="116">
        <f>IF(N$20="CYA",N248,N248*(1+N249)+N250)</f>
        <v>771733.18</v>
      </c>
      <c r="O251" s="116">
        <f>IF(O$20="CYA",O248,O248*(1+O249)+O250)</f>
        <v>4127.6699999999983</v>
      </c>
      <c r="P251" s="116">
        <f>IF(P$20="CYA",P248,P248*(1+P249)+P250)</f>
        <v>-521154.37660130713</v>
      </c>
      <c r="Q251" s="116">
        <f>IF(Q$20="CYA",Q248,Q248*(1+Q249)+Q250)</f>
        <v>-521154.37660130713</v>
      </c>
      <c r="R251" s="116">
        <f>IF(R$20="CYA",R248,R248*(1+R249)+R250)</f>
        <v>-487531.51359477162</v>
      </c>
      <c r="S251" s="116">
        <f>IF(S$20="CYA",S248,S248*(1+S249)+S250)</f>
        <v>-521154.37660130713</v>
      </c>
      <c r="T251" s="116">
        <f>IF(T$20="CYA",T248,T248*(1+T249)+T250)</f>
        <v>-504342.94509803929</v>
      </c>
      <c r="U251" s="116">
        <f>IF(U$20="CYA",U248,U248*(1+U249)+U250)</f>
        <v>-521154.37660130713</v>
      </c>
      <c r="V251" s="116">
        <f>IF(V$20="CYA",V248,V248*(1+V249)+V250)</f>
        <v>-504342.94509803929</v>
      </c>
      <c r="W251" s="116">
        <f>SUM(K251:V251)</f>
        <v>-6152983.9301960794</v>
      </c>
      <c r="X251" s="116"/>
      <c r="Y251" s="116">
        <f>SUM(Y248:Y250)</f>
        <v>-3575862.0784887606</v>
      </c>
      <c r="Z251" s="116">
        <f>W251-Y251</f>
        <v>-2577121.8517073188</v>
      </c>
      <c r="AA251" s="102">
        <f>IF(Y251=0,0,Z251/Y251)</f>
        <v>0.72069945516368128</v>
      </c>
      <c r="AB251" s="116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67"/>
      <c r="AP251" s="111">
        <f>ROW(Control!D65)</f>
        <v>65</v>
      </c>
      <c r="AQ251" s="111"/>
      <c r="AR251" s="167"/>
      <c r="AS251" s="167"/>
      <c r="AT251" s="167" t="str">
        <f>IF(OR(AU251=0,AV251=0),"NoSave","[Save]")</f>
        <v>NoSave</v>
      </c>
      <c r="AU251" s="111" cm="1">
        <f t="array" ref="AU251">INDEX(Control!G$1:G$9997,$AP251)</f>
        <v>0</v>
      </c>
      <c r="AV251" s="111" cm="1">
        <f t="array" ref="AV251">INDEX(Control!I$1:I$9997,$AP251)</f>
        <v>54510</v>
      </c>
      <c r="AW251" s="111">
        <v>1</v>
      </c>
      <c r="AX251" s="281">
        <f>IF(K$20="CYA",0,K251-K248)</f>
        <v>0</v>
      </c>
      <c r="AY251" s="281">
        <f t="shared" ref="AY251" si="706">IF(L$20="CYA",0,L251-L248)</f>
        <v>0</v>
      </c>
      <c r="AZ251" s="281">
        <f t="shared" ref="AZ251" si="707">IF(M$20="CYA",0,M251-M248)</f>
        <v>0</v>
      </c>
      <c r="BA251" s="281">
        <f t="shared" ref="BA251" si="708">IF(N$20="CYA",0,N251-N248)</f>
        <v>0</v>
      </c>
      <c r="BB251" s="281">
        <f t="shared" ref="BB251" si="709">IF(O$20="CYA",0,O251-O248)</f>
        <v>0</v>
      </c>
      <c r="BC251" s="281">
        <f t="shared" ref="BC251" si="710">IF(P$20="CYA",0,P251-P248)</f>
        <v>0</v>
      </c>
      <c r="BD251" s="281">
        <f t="shared" ref="BD251" si="711">IF(Q$20="CYA",0,Q251-Q248)</f>
        <v>0</v>
      </c>
      <c r="BE251" s="281">
        <f t="shared" ref="BE251" si="712">IF(R$20="CYA",0,R251-R248)</f>
        <v>0</v>
      </c>
      <c r="BF251" s="281">
        <f t="shared" ref="BF251" si="713">IF(S$20="CYA",0,S251-S248)</f>
        <v>0</v>
      </c>
      <c r="BG251" s="281">
        <f t="shared" ref="BG251" si="714">IF(T$20="CYA",0,T251-T248)</f>
        <v>0</v>
      </c>
      <c r="BH251" s="281">
        <f t="shared" ref="BH251" si="715">IF(U$20="CYA",0,U251-U248)</f>
        <v>0</v>
      </c>
      <c r="BI251" s="281">
        <f t="shared" ref="BI251" si="716">IF(V$20="CYA",0,V251-V248)</f>
        <v>0</v>
      </c>
    </row>
    <row r="252" spans="1:63" ht="16.8">
      <c r="A252" s="105"/>
      <c r="B252" s="106"/>
      <c r="C252" s="112"/>
      <c r="D252" s="110"/>
      <c r="E252" s="112"/>
      <c r="F252" s="74"/>
      <c r="G252" s="95"/>
      <c r="H252" s="95"/>
      <c r="I252" s="95"/>
      <c r="J252" s="67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67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111"/>
      <c r="AQ252" s="111"/>
      <c r="AR252" s="167"/>
      <c r="AS252" s="167"/>
      <c r="AT252" s="167"/>
      <c r="AU252" s="111"/>
      <c r="AV252" s="111"/>
      <c r="AW252" s="111"/>
      <c r="AX252" s="111"/>
      <c r="AY252" s="111"/>
      <c r="AZ252" s="111"/>
      <c r="BA252" s="111"/>
      <c r="BB252" s="111"/>
      <c r="BC252" s="111"/>
      <c r="BD252" s="111"/>
      <c r="BE252" s="111"/>
      <c r="BF252" s="111"/>
      <c r="BG252" s="111"/>
      <c r="BH252" s="111"/>
      <c r="BI252" s="111"/>
    </row>
    <row r="253" spans="1:63" ht="17.399999999999999" thickBot="1">
      <c r="A253" s="105" t="str">
        <f>C253</f>
        <v>R_NonOpInterest</v>
      </c>
      <c r="B253" s="106"/>
      <c r="C253" s="112" t="s">
        <v>358</v>
      </c>
      <c r="D253" s="110"/>
      <c r="E253" s="112"/>
      <c r="F253" s="58"/>
      <c r="G253" s="95" t="s">
        <v>254</v>
      </c>
      <c r="H253" s="95"/>
      <c r="I253" s="95"/>
      <c r="J253" s="67"/>
      <c r="K253" s="96">
        <v>-234584.65000000002</v>
      </c>
      <c r="L253" s="96">
        <v>-233371.32</v>
      </c>
      <c r="M253" s="96">
        <v>-208109.18999999997</v>
      </c>
      <c r="N253" s="96">
        <v>-228256.22000000003</v>
      </c>
      <c r="O253" s="96">
        <v>-235242.93000000002</v>
      </c>
      <c r="P253" s="96">
        <v>-230892.11509803898</v>
      </c>
      <c r="Q253" s="96">
        <v>-230892.11509803898</v>
      </c>
      <c r="R253" s="96">
        <v>-215995.8496078428</v>
      </c>
      <c r="S253" s="96">
        <v>-230892.11509803898</v>
      </c>
      <c r="T253" s="96">
        <v>-223443.98235294092</v>
      </c>
      <c r="U253" s="96">
        <v>-230892.11509803898</v>
      </c>
      <c r="V253" s="96">
        <v>-223443.98235294092</v>
      </c>
      <c r="W253" s="96">
        <f>SUM(K253:V253)</f>
        <v>-2726016.5847058804</v>
      </c>
      <c r="X253" s="96"/>
      <c r="Y253" s="96">
        <v>-1640351.4649497829</v>
      </c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R253" s="167"/>
      <c r="AS253" s="167"/>
      <c r="AT253" s="167"/>
      <c r="AU253" s="111"/>
      <c r="AV253" s="111"/>
      <c r="AW253" s="111">
        <v>1</v>
      </c>
      <c r="AX253" s="111"/>
      <c r="AY253" s="111"/>
      <c r="AZ253" s="111"/>
      <c r="BA253" s="111"/>
      <c r="BB253" s="111"/>
      <c r="BC253" s="111"/>
      <c r="BD253" s="111"/>
      <c r="BE253" s="111"/>
      <c r="BF253" s="111"/>
      <c r="BG253" s="111"/>
      <c r="BH253" s="111"/>
      <c r="BI253" s="111"/>
    </row>
    <row r="254" spans="1:63" ht="18" thickTop="1" thickBot="1">
      <c r="A254" s="113"/>
      <c r="B254" s="114"/>
      <c r="C254" s="112" t="str">
        <f>"ACCT.FSDetail='"&amp;C253&amp;"'"</f>
        <v>ACCT.FSDetail='R_NonOpInterest'</v>
      </c>
      <c r="D254" s="110" t="s">
        <v>411</v>
      </c>
      <c r="E254" s="112"/>
      <c r="F254" s="58"/>
      <c r="G254" s="95" t="s">
        <v>328</v>
      </c>
      <c r="H254" s="95"/>
      <c r="I254" s="95"/>
      <c r="J254" s="46"/>
      <c r="K254" s="86">
        <v>0</v>
      </c>
      <c r="L254" s="86">
        <v>0</v>
      </c>
      <c r="M254" s="86">
        <v>0</v>
      </c>
      <c r="N254" s="86">
        <v>0</v>
      </c>
      <c r="O254" s="86">
        <v>0</v>
      </c>
      <c r="P254" s="86">
        <v>0</v>
      </c>
      <c r="Q254" s="86">
        <v>0</v>
      </c>
      <c r="R254" s="86">
        <v>0</v>
      </c>
      <c r="S254" s="90">
        <f t="shared" ref="S254:V255" si="717">AK254</f>
        <v>0</v>
      </c>
      <c r="T254" s="90">
        <f t="shared" si="717"/>
        <v>0</v>
      </c>
      <c r="U254" s="90">
        <f t="shared" si="717"/>
        <v>0</v>
      </c>
      <c r="V254" s="90">
        <f t="shared" si="717"/>
        <v>0</v>
      </c>
      <c r="W254" s="97">
        <f>IF(W256=0,0,1-(SUM(W255,W253)/W256))</f>
        <v>0</v>
      </c>
      <c r="X254" s="97"/>
      <c r="Y254" s="97"/>
      <c r="Z254" s="97"/>
      <c r="AA254" s="97"/>
      <c r="AB254" s="97"/>
      <c r="AC254" s="97" cm="1">
        <f t="array" ref="AC254">IF(AC$7="",0,_xll.GetData(AC$7,$AQ254))</f>
        <v>0</v>
      </c>
      <c r="AD254" s="97" cm="1">
        <f t="array" ref="AD254">IF(AD$7="",0,_xll.GetData(AD$7,$AQ254))</f>
        <v>0</v>
      </c>
      <c r="AE254" s="97" cm="1">
        <f t="array" ref="AE254">IF(AE$7="",0,_xll.GetData(AE$7,$AQ254))</f>
        <v>0</v>
      </c>
      <c r="AF254" s="97" cm="1">
        <f t="array" ref="AF254">IF(AF$7="",0,_xll.GetData(AF$7,$AQ254))</f>
        <v>0</v>
      </c>
      <c r="AG254" s="97" cm="1">
        <f t="array" ref="AG254">IF(AG$7="",0,_xll.GetData(AG$7,$AQ254))</f>
        <v>0</v>
      </c>
      <c r="AH254" s="97" cm="1">
        <f t="array" ref="AH254">IF(AH$7="",0,_xll.GetData(AH$7,$AQ254))</f>
        <v>0</v>
      </c>
      <c r="AI254" s="97" cm="1">
        <f t="array" ref="AI254">IF(AI$7="",0,_xll.GetData(AI$7,$AQ254))</f>
        <v>0</v>
      </c>
      <c r="AJ254" s="97" cm="1">
        <f t="array" ref="AJ254">IF(AJ$7="",0,_xll.GetData(AJ$7,$AQ254))</f>
        <v>0</v>
      </c>
      <c r="AK254" s="97" cm="1">
        <f t="array" ref="AK254">IF(AK$7="",0,_xll.GetData(AK$7,$AQ254))</f>
        <v>0</v>
      </c>
      <c r="AL254" s="97" cm="1">
        <f t="array" ref="AL254">IF(AL$7="",0,_xll.GetData(AL$7,$AQ254))</f>
        <v>0</v>
      </c>
      <c r="AM254" s="97" cm="1">
        <f t="array" ref="AM254">IF(AM$7="",0,_xll.GetData(AM$7,$AQ254))</f>
        <v>0</v>
      </c>
      <c r="AN254" s="97" cm="1">
        <f t="array" ref="AN254">IF(AN$7="",0,_xll.GetData(AN$7,$AQ254))</f>
        <v>0</v>
      </c>
      <c r="AO254" s="46"/>
      <c r="AP254" s="111">
        <f>AP256</f>
        <v>66</v>
      </c>
      <c r="AQ254" s="111" t="str">
        <f>"Dept="&amp;AU254&amp;" And Acct="&amp;AV254</f>
        <v>Dept=0 And Acct=54500</v>
      </c>
      <c r="AR254" s="167" t="str">
        <f>IF(OR(AU254=0,AV254=0),"NoSave","[Save]")</f>
        <v>NoSave</v>
      </c>
      <c r="AS254" s="167"/>
      <c r="AT254" s="167"/>
      <c r="AU254" s="111">
        <f>AU256</f>
        <v>0</v>
      </c>
      <c r="AV254" s="111">
        <f>AV256</f>
        <v>54500</v>
      </c>
      <c r="AW254" s="111">
        <v>1</v>
      </c>
      <c r="AX254" s="280">
        <f>IF(K$20="CYA",0,K254)</f>
        <v>0</v>
      </c>
      <c r="AY254" s="280">
        <f t="shared" ref="AY254:AY255" si="718">IF(L$20="CYA",0,L254)</f>
        <v>0</v>
      </c>
      <c r="AZ254" s="280">
        <f t="shared" ref="AZ254:AZ255" si="719">IF(M$20="CYA",0,M254)</f>
        <v>0</v>
      </c>
      <c r="BA254" s="280">
        <f t="shared" ref="BA254:BA255" si="720">IF(N$20="CYA",0,N254)</f>
        <v>0</v>
      </c>
      <c r="BB254" s="280">
        <f t="shared" ref="BB254:BB255" si="721">IF(O$20="CYA",0,O254)</f>
        <v>0</v>
      </c>
      <c r="BC254" s="280">
        <f t="shared" ref="BC254:BC255" si="722">IF(P$20="CYA",0,P254)</f>
        <v>0</v>
      </c>
      <c r="BD254" s="280">
        <f t="shared" ref="BD254:BD255" si="723">IF(Q$20="CYA",0,Q254)</f>
        <v>0</v>
      </c>
      <c r="BE254" s="280">
        <f t="shared" ref="BE254:BE255" si="724">IF(R$20="CYA",0,R254)</f>
        <v>0</v>
      </c>
      <c r="BF254" s="280">
        <f t="shared" ref="BF254:BF255" si="725">IF(S$20="CYA",0,S254)</f>
        <v>0</v>
      </c>
      <c r="BG254" s="280">
        <f t="shared" ref="BG254:BG255" si="726">IF(T$20="CYA",0,T254)</f>
        <v>0</v>
      </c>
      <c r="BH254" s="280">
        <f t="shared" ref="BH254:BH255" si="727">IF(U$20="CYA",0,U254)</f>
        <v>0</v>
      </c>
      <c r="BI254" s="280">
        <f t="shared" ref="BI254:BI255" si="728">IF(V$20="CYA",0,V254)</f>
        <v>0</v>
      </c>
      <c r="BJ254" s="90">
        <f>CB254</f>
        <v>0</v>
      </c>
      <c r="BK254" s="86">
        <v>0</v>
      </c>
    </row>
    <row r="255" spans="1:63" ht="18" thickTop="1" thickBot="1">
      <c r="A255" s="105"/>
      <c r="B255" s="106"/>
      <c r="C255" s="112" t="str">
        <f>C254</f>
        <v>ACCT.FSDetail='R_NonOpInterest'</v>
      </c>
      <c r="D255" s="110" t="s">
        <v>411</v>
      </c>
      <c r="E255" s="112"/>
      <c r="F255" s="58"/>
      <c r="G255" s="95" t="s">
        <v>329</v>
      </c>
      <c r="H255" s="95"/>
      <c r="I255" s="95"/>
      <c r="J255" s="67"/>
      <c r="K255" s="96">
        <v>0</v>
      </c>
      <c r="L255" s="96">
        <v>0</v>
      </c>
      <c r="M255" s="96">
        <v>0</v>
      </c>
      <c r="N255" s="96">
        <v>0</v>
      </c>
      <c r="O255" s="96">
        <v>0</v>
      </c>
      <c r="P255" s="96">
        <v>0</v>
      </c>
      <c r="Q255" s="96">
        <v>0</v>
      </c>
      <c r="R255" s="96">
        <v>0</v>
      </c>
      <c r="S255" s="89">
        <f t="shared" si="717"/>
        <v>0</v>
      </c>
      <c r="T255" s="89">
        <f t="shared" si="717"/>
        <v>0</v>
      </c>
      <c r="U255" s="89">
        <f t="shared" si="717"/>
        <v>0</v>
      </c>
      <c r="V255" s="89">
        <f t="shared" si="717"/>
        <v>0</v>
      </c>
      <c r="W255" s="96">
        <f>SUM(K255:V255)</f>
        <v>0</v>
      </c>
      <c r="X255" s="96"/>
      <c r="Y255" s="96"/>
      <c r="Z255" s="96"/>
      <c r="AA255" s="96"/>
      <c r="AB255" s="96"/>
      <c r="AC255" s="96" cm="1">
        <f t="array" ref="AC255">IF(AC$8="",0,_xll.GetData(AC$8,$AQ255))</f>
        <v>0</v>
      </c>
      <c r="AD255" s="96" cm="1">
        <f t="array" ref="AD255">IF(AD$8="",0,_xll.GetData(AD$8,$AQ255))</f>
        <v>0</v>
      </c>
      <c r="AE255" s="96" cm="1">
        <f t="array" ref="AE255">IF(AE$8="",0,_xll.GetData(AE$8,$AQ255))</f>
        <v>0</v>
      </c>
      <c r="AF255" s="96" cm="1">
        <f t="array" ref="AF255">IF(AF$8="",0,_xll.GetData(AF$8,$AQ255))</f>
        <v>0</v>
      </c>
      <c r="AG255" s="96" cm="1">
        <f t="array" ref="AG255">IF(AG$8="",0,_xll.GetData(AG$8,$AQ255))</f>
        <v>0</v>
      </c>
      <c r="AH255" s="96" cm="1">
        <f t="array" ref="AH255">IF(AH$8="",0,_xll.GetData(AH$8,$AQ255))</f>
        <v>0</v>
      </c>
      <c r="AI255" s="96" cm="1">
        <f t="array" ref="AI255">IF(AI$8="",0,_xll.GetData(AI$8,$AQ255))</f>
        <v>0</v>
      </c>
      <c r="AJ255" s="96" cm="1">
        <f t="array" ref="AJ255">IF(AJ$8="",0,_xll.GetData(AJ$8,$AQ255))</f>
        <v>0</v>
      </c>
      <c r="AK255" s="96" cm="1">
        <f t="array" ref="AK255">IF(AK$8="",0,_xll.GetData(AK$8,$AQ255))</f>
        <v>0</v>
      </c>
      <c r="AL255" s="96" cm="1">
        <f t="array" ref="AL255">IF(AL$8="",0,_xll.GetData(AL$8,$AQ255))</f>
        <v>0</v>
      </c>
      <c r="AM255" s="96" cm="1">
        <f t="array" ref="AM255">IF(AM$8="",0,_xll.GetData(AM$8,$AQ255))</f>
        <v>0</v>
      </c>
      <c r="AN255" s="96" cm="1">
        <f t="array" ref="AN255">IF(AN$8="",0,_xll.GetData(AN$8,$AQ255))</f>
        <v>0</v>
      </c>
      <c r="AO255" s="69"/>
      <c r="AP255" s="111">
        <f>AP256</f>
        <v>66</v>
      </c>
      <c r="AQ255" s="111" t="str">
        <f>"Dept="&amp;AU255&amp;" And Acct="&amp;AV255</f>
        <v>Dept=0 And Acct=54500</v>
      </c>
      <c r="AR255" s="167"/>
      <c r="AS255" s="167" t="str">
        <f>IF(OR(AU255=0,AV255=0),"NoSave","[Save]")</f>
        <v>NoSave</v>
      </c>
      <c r="AT255" s="167"/>
      <c r="AU255" s="111">
        <f>AU256</f>
        <v>0</v>
      </c>
      <c r="AV255" s="111">
        <f>AV256</f>
        <v>54500</v>
      </c>
      <c r="AW255" s="111">
        <v>1</v>
      </c>
      <c r="AX255" s="281">
        <f>IF(K$20="CYA",0,K255)</f>
        <v>0</v>
      </c>
      <c r="AY255" s="281">
        <f t="shared" si="718"/>
        <v>0</v>
      </c>
      <c r="AZ255" s="281">
        <f t="shared" si="719"/>
        <v>0</v>
      </c>
      <c r="BA255" s="281">
        <f t="shared" si="720"/>
        <v>0</v>
      </c>
      <c r="BB255" s="281">
        <f t="shared" si="721"/>
        <v>0</v>
      </c>
      <c r="BC255" s="281">
        <f t="shared" si="722"/>
        <v>0</v>
      </c>
      <c r="BD255" s="281">
        <f t="shared" si="723"/>
        <v>0</v>
      </c>
      <c r="BE255" s="281">
        <f t="shared" si="724"/>
        <v>0</v>
      </c>
      <c r="BF255" s="281">
        <f t="shared" si="725"/>
        <v>0</v>
      </c>
      <c r="BG255" s="281">
        <f t="shared" si="726"/>
        <v>0</v>
      </c>
      <c r="BH255" s="281">
        <f t="shared" si="727"/>
        <v>0</v>
      </c>
      <c r="BI255" s="281">
        <f t="shared" si="728"/>
        <v>0</v>
      </c>
      <c r="BJ255" s="89">
        <f>CB255</f>
        <v>0</v>
      </c>
      <c r="BK255" s="96">
        <v>0</v>
      </c>
    </row>
    <row r="256" spans="1:63" ht="17.399999999999999" thickTop="1">
      <c r="A256" s="105"/>
      <c r="B256" s="106" t="str">
        <f>C253</f>
        <v>R_NonOpInterest</v>
      </c>
      <c r="C256" s="112"/>
      <c r="D256" s="110"/>
      <c r="E256" s="112"/>
      <c r="F256" s="74"/>
      <c r="G256" s="100" t="str">
        <f>"   Total "&amp;G253</f>
        <v xml:space="preserve">   Total Interest Income</v>
      </c>
      <c r="H256" s="100"/>
      <c r="I256" s="100"/>
      <c r="J256" s="116"/>
      <c r="K256" s="116">
        <f>IF(K$20="CYA",K253,K253*(1+K254)+K255)</f>
        <v>-234584.65000000002</v>
      </c>
      <c r="L256" s="116">
        <f>IF(L$20="CYA",L253,L253*(1+L254)+L255)</f>
        <v>-233371.32</v>
      </c>
      <c r="M256" s="116">
        <f>IF(M$20="CYA",M253,M253*(1+M254)+M255)</f>
        <v>-208109.18999999997</v>
      </c>
      <c r="N256" s="116">
        <f>IF(N$20="CYA",N253,N253*(1+N254)+N255)</f>
        <v>-228256.22000000003</v>
      </c>
      <c r="O256" s="116">
        <f>IF(O$20="CYA",O253,O253*(1+O254)+O255)</f>
        <v>-235242.93000000002</v>
      </c>
      <c r="P256" s="116">
        <f>IF(P$20="CYA",P253,P253*(1+P254)+P255)</f>
        <v>-230892.11509803898</v>
      </c>
      <c r="Q256" s="116">
        <f>IF(Q$20="CYA",Q253,Q253*(1+Q254)+Q255)</f>
        <v>-230892.11509803898</v>
      </c>
      <c r="R256" s="116">
        <f>IF(R$20="CYA",R253,R253*(1+R254)+R255)</f>
        <v>-215995.8496078428</v>
      </c>
      <c r="S256" s="116">
        <f>IF(S$20="CYA",S253,S253*(1+S254)+S255)</f>
        <v>-230892.11509803898</v>
      </c>
      <c r="T256" s="116">
        <f>IF(T$20="CYA",T253,T253*(1+T254)+T255)</f>
        <v>-223443.98235294092</v>
      </c>
      <c r="U256" s="116">
        <f>IF(U$20="CYA",U253,U253*(1+U254)+U255)</f>
        <v>-230892.11509803898</v>
      </c>
      <c r="V256" s="116">
        <f>IF(V$20="CYA",V253,V253*(1+V254)+V255)</f>
        <v>-223443.98235294092</v>
      </c>
      <c r="W256" s="116">
        <f>SUM(K256:V256)</f>
        <v>-2726016.5847058804</v>
      </c>
      <c r="X256" s="116"/>
      <c r="Y256" s="116">
        <f>SUM(Y253:Y255)</f>
        <v>-1640351.4649497829</v>
      </c>
      <c r="Z256" s="116">
        <f>W256-Y256</f>
        <v>-1085665.1197560974</v>
      </c>
      <c r="AA256" s="102">
        <f>IF(Y256=0,0,Z256/Y256)</f>
        <v>0.66184908719506252</v>
      </c>
      <c r="AB256" s="116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67"/>
      <c r="AP256" s="111">
        <f>ROW(Control!D66)</f>
        <v>66</v>
      </c>
      <c r="AQ256" s="111"/>
      <c r="AR256" s="167"/>
      <c r="AS256" s="167"/>
      <c r="AT256" s="167" t="str">
        <f>IF(OR(AU256=0,AV256=0),"NoSave","[Save]")</f>
        <v>NoSave</v>
      </c>
      <c r="AU256" s="111" cm="1">
        <f t="array" ref="AU256">INDEX(Control!G$1:G$9997,$AP256)</f>
        <v>0</v>
      </c>
      <c r="AV256" s="111" cm="1">
        <f t="array" ref="AV256">INDEX(Control!I$1:I$9997,$AP256)</f>
        <v>54500</v>
      </c>
      <c r="AW256" s="111">
        <v>1</v>
      </c>
      <c r="AX256" s="281">
        <f>IF(K$20="CYA",0,K256-K253)</f>
        <v>0</v>
      </c>
      <c r="AY256" s="281">
        <f t="shared" ref="AY256" si="729">IF(L$20="CYA",0,L256-L253)</f>
        <v>0</v>
      </c>
      <c r="AZ256" s="281">
        <f t="shared" ref="AZ256" si="730">IF(M$20="CYA",0,M256-M253)</f>
        <v>0</v>
      </c>
      <c r="BA256" s="281">
        <f t="shared" ref="BA256" si="731">IF(N$20="CYA",0,N256-N253)</f>
        <v>0</v>
      </c>
      <c r="BB256" s="281">
        <f t="shared" ref="BB256" si="732">IF(O$20="CYA",0,O256-O253)</f>
        <v>0</v>
      </c>
      <c r="BC256" s="281">
        <f t="shared" ref="BC256" si="733">IF(P$20="CYA",0,P256-P253)</f>
        <v>0</v>
      </c>
      <c r="BD256" s="281">
        <f t="shared" ref="BD256" si="734">IF(Q$20="CYA",0,Q256-Q253)</f>
        <v>0</v>
      </c>
      <c r="BE256" s="281">
        <f t="shared" ref="BE256" si="735">IF(R$20="CYA",0,R256-R253)</f>
        <v>0</v>
      </c>
      <c r="BF256" s="281">
        <f t="shared" ref="BF256" si="736">IF(S$20="CYA",0,S256-S253)</f>
        <v>0</v>
      </c>
      <c r="BG256" s="281">
        <f t="shared" ref="BG256" si="737">IF(T$20="CYA",0,T256-T253)</f>
        <v>0</v>
      </c>
      <c r="BH256" s="281">
        <f t="shared" ref="BH256" si="738">IF(U$20="CYA",0,U256-U253)</f>
        <v>0</v>
      </c>
      <c r="BI256" s="281">
        <f t="shared" ref="BI256" si="739">IF(V$20="CYA",0,V256-V253)</f>
        <v>0</v>
      </c>
    </row>
    <row r="257" spans="1:63" ht="16.8">
      <c r="A257" s="105"/>
      <c r="B257" s="106"/>
      <c r="C257" s="112"/>
      <c r="D257" s="110"/>
      <c r="E257" s="112"/>
      <c r="F257" s="74"/>
      <c r="G257" s="95"/>
      <c r="H257" s="95"/>
      <c r="I257" s="95"/>
      <c r="J257" s="67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67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111"/>
      <c r="AQ257" s="111"/>
      <c r="AR257" s="167"/>
      <c r="AS257" s="167"/>
      <c r="AT257" s="167"/>
      <c r="AU257" s="111"/>
      <c r="AV257" s="111"/>
      <c r="AW257" s="111"/>
      <c r="AX257" s="111"/>
      <c r="AY257" s="111"/>
      <c r="AZ257" s="111"/>
      <c r="BA257" s="111"/>
      <c r="BB257" s="111"/>
      <c r="BC257" s="111"/>
      <c r="BD257" s="111"/>
      <c r="BE257" s="111"/>
      <c r="BF257" s="111"/>
      <c r="BG257" s="111"/>
      <c r="BH257" s="111"/>
      <c r="BI257" s="111"/>
    </row>
    <row r="258" spans="1:63" ht="17.399999999999999" thickBot="1">
      <c r="A258" s="105" t="str">
        <f>C258</f>
        <v>R_NonOpGainLoss</v>
      </c>
      <c r="B258" s="106"/>
      <c r="C258" s="112" t="s">
        <v>359</v>
      </c>
      <c r="D258" s="110"/>
      <c r="E258" s="112"/>
      <c r="F258" s="58"/>
      <c r="G258" s="95" t="s">
        <v>255</v>
      </c>
      <c r="H258" s="95"/>
      <c r="I258" s="95"/>
      <c r="J258" s="67"/>
      <c r="K258" s="96">
        <v>-73548.92</v>
      </c>
      <c r="L258" s="96">
        <v>-1705.21</v>
      </c>
      <c r="M258" s="96">
        <v>206.08</v>
      </c>
      <c r="N258" s="96">
        <v>2932.65</v>
      </c>
      <c r="O258" s="96">
        <v>-53407.88</v>
      </c>
      <c r="P258" s="96">
        <v>-25432.8214379085</v>
      </c>
      <c r="Q258" s="96">
        <v>-25432.8214379085</v>
      </c>
      <c r="R258" s="96">
        <v>-23791.994248366002</v>
      </c>
      <c r="S258" s="96">
        <v>-25432.8214379085</v>
      </c>
      <c r="T258" s="96">
        <v>-24612.407843137298</v>
      </c>
      <c r="U258" s="96">
        <v>-25432.8214379085</v>
      </c>
      <c r="V258" s="96">
        <v>-24612.407843137298</v>
      </c>
      <c r="W258" s="96">
        <f>SUM(K258:V258)</f>
        <v>-300271.37568627461</v>
      </c>
      <c r="X258" s="96"/>
      <c r="Y258" s="96">
        <v>-192337.21763749406</v>
      </c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R258" s="167"/>
      <c r="AS258" s="167"/>
      <c r="AT258" s="167"/>
      <c r="AU258" s="111"/>
      <c r="AV258" s="111"/>
      <c r="AW258" s="111">
        <v>1</v>
      </c>
      <c r="AX258" s="111"/>
      <c r="AY258" s="111"/>
      <c r="AZ258" s="111"/>
      <c r="BA258" s="111"/>
      <c r="BB258" s="111"/>
      <c r="BC258" s="111"/>
      <c r="BD258" s="111"/>
      <c r="BE258" s="111"/>
      <c r="BF258" s="111"/>
      <c r="BG258" s="111"/>
      <c r="BH258" s="111"/>
      <c r="BI258" s="111"/>
    </row>
    <row r="259" spans="1:63" ht="18" thickTop="1" thickBot="1">
      <c r="A259" s="113"/>
      <c r="B259" s="114"/>
      <c r="C259" s="112" t="str">
        <f>"ACCT.FSDetail='"&amp;C258&amp;"'"</f>
        <v>ACCT.FSDetail='R_NonOpGainLoss'</v>
      </c>
      <c r="D259" s="110" t="s">
        <v>411</v>
      </c>
      <c r="E259" s="112"/>
      <c r="F259" s="58"/>
      <c r="G259" s="95" t="s">
        <v>328</v>
      </c>
      <c r="H259" s="95"/>
      <c r="I259" s="95"/>
      <c r="J259" s="46"/>
      <c r="K259" s="86">
        <v>0</v>
      </c>
      <c r="L259" s="86">
        <v>0</v>
      </c>
      <c r="M259" s="86">
        <v>0</v>
      </c>
      <c r="N259" s="86">
        <v>0</v>
      </c>
      <c r="O259" s="86">
        <v>0</v>
      </c>
      <c r="P259" s="86">
        <v>0</v>
      </c>
      <c r="Q259" s="86">
        <v>0</v>
      </c>
      <c r="R259" s="86">
        <v>0</v>
      </c>
      <c r="S259" s="90">
        <f t="shared" ref="S259:V260" si="740">AK259</f>
        <v>0</v>
      </c>
      <c r="T259" s="90">
        <f t="shared" si="740"/>
        <v>0</v>
      </c>
      <c r="U259" s="90">
        <f t="shared" si="740"/>
        <v>0</v>
      </c>
      <c r="V259" s="90">
        <f t="shared" si="740"/>
        <v>0</v>
      </c>
      <c r="W259" s="97">
        <f>IF(W261=0,0,1-(SUM(W260,W258)/W261))</f>
        <v>0</v>
      </c>
      <c r="X259" s="97"/>
      <c r="Y259" s="97"/>
      <c r="Z259" s="97"/>
      <c r="AA259" s="97"/>
      <c r="AB259" s="97"/>
      <c r="AC259" s="97" cm="1">
        <f t="array" ref="AC259">IF(AC$7="",0,_xll.GetData(AC$7,$AQ259))</f>
        <v>0</v>
      </c>
      <c r="AD259" s="97" cm="1">
        <f t="array" ref="AD259">IF(AD$7="",0,_xll.GetData(AD$7,$AQ259))</f>
        <v>0</v>
      </c>
      <c r="AE259" s="97" cm="1">
        <f t="array" ref="AE259">IF(AE$7="",0,_xll.GetData(AE$7,$AQ259))</f>
        <v>0</v>
      </c>
      <c r="AF259" s="97" cm="1">
        <f t="array" ref="AF259">IF(AF$7="",0,_xll.GetData(AF$7,$AQ259))</f>
        <v>0</v>
      </c>
      <c r="AG259" s="97" cm="1">
        <f t="array" ref="AG259">IF(AG$7="",0,_xll.GetData(AG$7,$AQ259))</f>
        <v>0</v>
      </c>
      <c r="AH259" s="97" cm="1">
        <f t="array" ref="AH259">IF(AH$7="",0,_xll.GetData(AH$7,$AQ259))</f>
        <v>0</v>
      </c>
      <c r="AI259" s="97" cm="1">
        <f t="array" ref="AI259">IF(AI$7="",0,_xll.GetData(AI$7,$AQ259))</f>
        <v>0</v>
      </c>
      <c r="AJ259" s="97" cm="1">
        <f t="array" ref="AJ259">IF(AJ$7="",0,_xll.GetData(AJ$7,$AQ259))</f>
        <v>0</v>
      </c>
      <c r="AK259" s="97" cm="1">
        <f t="array" ref="AK259">IF(AK$7="",0,_xll.GetData(AK$7,$AQ259))</f>
        <v>0</v>
      </c>
      <c r="AL259" s="97" cm="1">
        <f t="array" ref="AL259">IF(AL$7="",0,_xll.GetData(AL$7,$AQ259))</f>
        <v>0</v>
      </c>
      <c r="AM259" s="97" cm="1">
        <f t="array" ref="AM259">IF(AM$7="",0,_xll.GetData(AM$7,$AQ259))</f>
        <v>0</v>
      </c>
      <c r="AN259" s="97" cm="1">
        <f t="array" ref="AN259">IF(AN$7="",0,_xll.GetData(AN$7,$AQ259))</f>
        <v>0</v>
      </c>
      <c r="AO259" s="46"/>
      <c r="AP259" s="111">
        <f>AP261</f>
        <v>67</v>
      </c>
      <c r="AQ259" s="111" t="str">
        <f>"Dept="&amp;AU259&amp;" And Acct="&amp;AV259</f>
        <v>Dept=0 And Acct=54000</v>
      </c>
      <c r="AR259" s="167" t="str">
        <f>IF(OR(AU259=0,AV259=0),"NoSave","[Save]")</f>
        <v>NoSave</v>
      </c>
      <c r="AS259" s="167"/>
      <c r="AT259" s="167"/>
      <c r="AU259" s="111">
        <f>AU261</f>
        <v>0</v>
      </c>
      <c r="AV259" s="111">
        <f>AV261</f>
        <v>54000</v>
      </c>
      <c r="AW259" s="111">
        <v>1</v>
      </c>
      <c r="AX259" s="280">
        <f>IF(K$20="CYA",0,K259)</f>
        <v>0</v>
      </c>
      <c r="AY259" s="280">
        <f t="shared" ref="AY259:AY260" si="741">IF(L$20="CYA",0,L259)</f>
        <v>0</v>
      </c>
      <c r="AZ259" s="280">
        <f t="shared" ref="AZ259:AZ260" si="742">IF(M$20="CYA",0,M259)</f>
        <v>0</v>
      </c>
      <c r="BA259" s="280">
        <f t="shared" ref="BA259:BA260" si="743">IF(N$20="CYA",0,N259)</f>
        <v>0</v>
      </c>
      <c r="BB259" s="280">
        <f t="shared" ref="BB259:BB260" si="744">IF(O$20="CYA",0,O259)</f>
        <v>0</v>
      </c>
      <c r="BC259" s="280">
        <f t="shared" ref="BC259:BC260" si="745">IF(P$20="CYA",0,P259)</f>
        <v>0</v>
      </c>
      <c r="BD259" s="280">
        <f t="shared" ref="BD259:BD260" si="746">IF(Q$20="CYA",0,Q259)</f>
        <v>0</v>
      </c>
      <c r="BE259" s="280">
        <f t="shared" ref="BE259:BE260" si="747">IF(R$20="CYA",0,R259)</f>
        <v>0</v>
      </c>
      <c r="BF259" s="280">
        <f t="shared" ref="BF259:BF260" si="748">IF(S$20="CYA",0,S259)</f>
        <v>0</v>
      </c>
      <c r="BG259" s="280">
        <f t="shared" ref="BG259:BG260" si="749">IF(T$20="CYA",0,T259)</f>
        <v>0</v>
      </c>
      <c r="BH259" s="280">
        <f t="shared" ref="BH259:BH260" si="750">IF(U$20="CYA",0,U259)</f>
        <v>0</v>
      </c>
      <c r="BI259" s="280">
        <f t="shared" ref="BI259:BI260" si="751">IF(V$20="CYA",0,V259)</f>
        <v>0</v>
      </c>
      <c r="BJ259" s="90">
        <f>CB259</f>
        <v>0</v>
      </c>
      <c r="BK259" s="86">
        <v>0</v>
      </c>
    </row>
    <row r="260" spans="1:63" ht="18" thickTop="1" thickBot="1">
      <c r="A260" s="105"/>
      <c r="B260" s="106"/>
      <c r="C260" s="112" t="str">
        <f>C259</f>
        <v>ACCT.FSDetail='R_NonOpGainLoss'</v>
      </c>
      <c r="D260" s="110" t="s">
        <v>411</v>
      </c>
      <c r="E260" s="112"/>
      <c r="F260" s="58"/>
      <c r="G260" s="95" t="s">
        <v>329</v>
      </c>
      <c r="H260" s="95"/>
      <c r="I260" s="95"/>
      <c r="J260" s="67"/>
      <c r="K260" s="96">
        <v>0</v>
      </c>
      <c r="L260" s="96">
        <v>0</v>
      </c>
      <c r="M260" s="96">
        <v>0</v>
      </c>
      <c r="N260" s="96">
        <v>0</v>
      </c>
      <c r="O260" s="96">
        <v>0</v>
      </c>
      <c r="P260" s="96">
        <v>0</v>
      </c>
      <c r="Q260" s="96">
        <v>0</v>
      </c>
      <c r="R260" s="96">
        <v>0</v>
      </c>
      <c r="S260" s="89">
        <f t="shared" si="740"/>
        <v>0</v>
      </c>
      <c r="T260" s="89">
        <f t="shared" si="740"/>
        <v>0</v>
      </c>
      <c r="U260" s="89">
        <f t="shared" si="740"/>
        <v>0</v>
      </c>
      <c r="V260" s="89">
        <f t="shared" si="740"/>
        <v>0</v>
      </c>
      <c r="W260" s="96">
        <f>SUM(K260:V260)</f>
        <v>0</v>
      </c>
      <c r="X260" s="96"/>
      <c r="Y260" s="96"/>
      <c r="Z260" s="96"/>
      <c r="AA260" s="96"/>
      <c r="AB260" s="96"/>
      <c r="AC260" s="96" cm="1">
        <f t="array" ref="AC260">IF(AC$8="",0,_xll.GetData(AC$8,$AQ260))</f>
        <v>0</v>
      </c>
      <c r="AD260" s="96" cm="1">
        <f t="array" ref="AD260">IF(AD$8="",0,_xll.GetData(AD$8,$AQ260))</f>
        <v>0</v>
      </c>
      <c r="AE260" s="96" cm="1">
        <f t="array" ref="AE260">IF(AE$8="",0,_xll.GetData(AE$8,$AQ260))</f>
        <v>0</v>
      </c>
      <c r="AF260" s="96" cm="1">
        <f t="array" ref="AF260">IF(AF$8="",0,_xll.GetData(AF$8,$AQ260))</f>
        <v>0</v>
      </c>
      <c r="AG260" s="96" cm="1">
        <f t="array" ref="AG260">IF(AG$8="",0,_xll.GetData(AG$8,$AQ260))</f>
        <v>0</v>
      </c>
      <c r="AH260" s="96" cm="1">
        <f t="array" ref="AH260">IF(AH$8="",0,_xll.GetData(AH$8,$AQ260))</f>
        <v>0</v>
      </c>
      <c r="AI260" s="96" cm="1">
        <f t="array" ref="AI260">IF(AI$8="",0,_xll.GetData(AI$8,$AQ260))</f>
        <v>0</v>
      </c>
      <c r="AJ260" s="96" cm="1">
        <f t="array" ref="AJ260">IF(AJ$8="",0,_xll.GetData(AJ$8,$AQ260))</f>
        <v>0</v>
      </c>
      <c r="AK260" s="96" cm="1">
        <f t="array" ref="AK260">IF(AK$8="",0,_xll.GetData(AK$8,$AQ260))</f>
        <v>0</v>
      </c>
      <c r="AL260" s="96" cm="1">
        <f t="array" ref="AL260">IF(AL$8="",0,_xll.GetData(AL$8,$AQ260))</f>
        <v>0</v>
      </c>
      <c r="AM260" s="96" cm="1">
        <f t="array" ref="AM260">IF(AM$8="",0,_xll.GetData(AM$8,$AQ260))</f>
        <v>0</v>
      </c>
      <c r="AN260" s="96" cm="1">
        <f t="array" ref="AN260">IF(AN$8="",0,_xll.GetData(AN$8,$AQ260))</f>
        <v>0</v>
      </c>
      <c r="AO260" s="69"/>
      <c r="AP260" s="111">
        <f>AP261</f>
        <v>67</v>
      </c>
      <c r="AQ260" s="111" t="str">
        <f>"Dept="&amp;AU260&amp;" And Acct="&amp;AV260</f>
        <v>Dept=0 And Acct=54000</v>
      </c>
      <c r="AR260" s="167"/>
      <c r="AS260" s="167" t="str">
        <f>IF(OR(AU260=0,AV260=0),"NoSave","[Save]")</f>
        <v>NoSave</v>
      </c>
      <c r="AT260" s="167"/>
      <c r="AU260" s="111">
        <f>AU261</f>
        <v>0</v>
      </c>
      <c r="AV260" s="111">
        <f>AV261</f>
        <v>54000</v>
      </c>
      <c r="AW260" s="111">
        <v>1</v>
      </c>
      <c r="AX260" s="281">
        <f>IF(K$20="CYA",0,K260)</f>
        <v>0</v>
      </c>
      <c r="AY260" s="281">
        <f t="shared" si="741"/>
        <v>0</v>
      </c>
      <c r="AZ260" s="281">
        <f t="shared" si="742"/>
        <v>0</v>
      </c>
      <c r="BA260" s="281">
        <f t="shared" si="743"/>
        <v>0</v>
      </c>
      <c r="BB260" s="281">
        <f t="shared" si="744"/>
        <v>0</v>
      </c>
      <c r="BC260" s="281">
        <f t="shared" si="745"/>
        <v>0</v>
      </c>
      <c r="BD260" s="281">
        <f t="shared" si="746"/>
        <v>0</v>
      </c>
      <c r="BE260" s="281">
        <f t="shared" si="747"/>
        <v>0</v>
      </c>
      <c r="BF260" s="281">
        <f t="shared" si="748"/>
        <v>0</v>
      </c>
      <c r="BG260" s="281">
        <f t="shared" si="749"/>
        <v>0</v>
      </c>
      <c r="BH260" s="281">
        <f t="shared" si="750"/>
        <v>0</v>
      </c>
      <c r="BI260" s="281">
        <f t="shared" si="751"/>
        <v>0</v>
      </c>
      <c r="BJ260" s="89">
        <f>CB260</f>
        <v>0</v>
      </c>
      <c r="BK260" s="96">
        <v>0</v>
      </c>
    </row>
    <row r="261" spans="1:63" ht="17.399999999999999" thickTop="1">
      <c r="A261" s="105"/>
      <c r="B261" s="106" t="str">
        <f>C258</f>
        <v>R_NonOpGainLoss</v>
      </c>
      <c r="C261" s="112"/>
      <c r="D261" s="110"/>
      <c r="E261" s="112"/>
      <c r="F261" s="74"/>
      <c r="G261" s="100" t="str">
        <f>"   Total "&amp;G258</f>
        <v xml:space="preserve">   Total Gain(Loss) on Sale of Assets</v>
      </c>
      <c r="H261" s="100"/>
      <c r="I261" s="100"/>
      <c r="J261" s="116"/>
      <c r="K261" s="116">
        <f>IF(K$20="CYA",K258,K258*(1+K259)+K260)</f>
        <v>-73548.92</v>
      </c>
      <c r="L261" s="116">
        <f>IF(L$20="CYA",L258,L258*(1+L259)+L260)</f>
        <v>-1705.21</v>
      </c>
      <c r="M261" s="116">
        <f>IF(M$20="CYA",M258,M258*(1+M259)+M260)</f>
        <v>206.08</v>
      </c>
      <c r="N261" s="116">
        <f>IF(N$20="CYA",N258,N258*(1+N259)+N260)</f>
        <v>2932.65</v>
      </c>
      <c r="O261" s="116">
        <f>IF(O$20="CYA",O258,O258*(1+O259)+O260)</f>
        <v>-53407.88</v>
      </c>
      <c r="P261" s="116">
        <f>IF(P$20="CYA",P258,P258*(1+P259)+P260)</f>
        <v>-25432.8214379085</v>
      </c>
      <c r="Q261" s="116">
        <f>IF(Q$20="CYA",Q258,Q258*(1+Q259)+Q260)</f>
        <v>-25432.8214379085</v>
      </c>
      <c r="R261" s="116">
        <f>IF(R$20="CYA",R258,R258*(1+R259)+R260)</f>
        <v>-23791.994248366002</v>
      </c>
      <c r="S261" s="116">
        <f>IF(S$20="CYA",S258,S258*(1+S259)+S260)</f>
        <v>-25432.8214379085</v>
      </c>
      <c r="T261" s="116">
        <f>IF(T$20="CYA",T258,T258*(1+T259)+T260)</f>
        <v>-24612.407843137298</v>
      </c>
      <c r="U261" s="116">
        <f>IF(U$20="CYA",U258,U258*(1+U259)+U260)</f>
        <v>-25432.8214379085</v>
      </c>
      <c r="V261" s="116">
        <f>IF(V$20="CYA",V258,V258*(1+V259)+V260)</f>
        <v>-24612.407843137298</v>
      </c>
      <c r="W261" s="116">
        <f>SUM(K261:V261)</f>
        <v>-300271.37568627461</v>
      </c>
      <c r="X261" s="116"/>
      <c r="Y261" s="116">
        <f>SUM(Y258:Y260)</f>
        <v>-192337.21763749406</v>
      </c>
      <c r="Z261" s="116">
        <f>W261-Y261</f>
        <v>-107934.15804878055</v>
      </c>
      <c r="AA261" s="102">
        <f>IF(Y261=0,0,Z261/Y261)</f>
        <v>0.56117146423636288</v>
      </c>
      <c r="AB261" s="116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67"/>
      <c r="AP261" s="111">
        <f>ROW(Control!D67)</f>
        <v>67</v>
      </c>
      <c r="AQ261" s="111"/>
      <c r="AR261" s="167"/>
      <c r="AS261" s="167"/>
      <c r="AT261" s="167" t="str">
        <f>IF(OR(AU261=0,AV261=0),"NoSave","[Save]")</f>
        <v>NoSave</v>
      </c>
      <c r="AU261" s="111" cm="1">
        <f t="array" ref="AU261">INDEX(Control!G$1:G$9997,$AP261)</f>
        <v>0</v>
      </c>
      <c r="AV261" s="111" cm="1">
        <f t="array" ref="AV261">INDEX(Control!I$1:I$9997,$AP261)</f>
        <v>54000</v>
      </c>
      <c r="AW261" s="111">
        <v>1</v>
      </c>
      <c r="AX261" s="281">
        <f>IF(K$20="CYA",0,K261-K258)</f>
        <v>0</v>
      </c>
      <c r="AY261" s="281">
        <f t="shared" ref="AY261" si="752">IF(L$20="CYA",0,L261-L258)</f>
        <v>0</v>
      </c>
      <c r="AZ261" s="281">
        <f t="shared" ref="AZ261" si="753">IF(M$20="CYA",0,M261-M258)</f>
        <v>0</v>
      </c>
      <c r="BA261" s="281">
        <f t="shared" ref="BA261" si="754">IF(N$20="CYA",0,N261-N258)</f>
        <v>0</v>
      </c>
      <c r="BB261" s="281">
        <f t="shared" ref="BB261" si="755">IF(O$20="CYA",0,O261-O258)</f>
        <v>0</v>
      </c>
      <c r="BC261" s="281">
        <f t="shared" ref="BC261" si="756">IF(P$20="CYA",0,P261-P258)</f>
        <v>0</v>
      </c>
      <c r="BD261" s="281">
        <f t="shared" ref="BD261" si="757">IF(Q$20="CYA",0,Q261-Q258)</f>
        <v>0</v>
      </c>
      <c r="BE261" s="281">
        <f t="shared" ref="BE261" si="758">IF(R$20="CYA",0,R261-R258)</f>
        <v>0</v>
      </c>
      <c r="BF261" s="281">
        <f t="shared" ref="BF261" si="759">IF(S$20="CYA",0,S261-S258)</f>
        <v>0</v>
      </c>
      <c r="BG261" s="281">
        <f t="shared" ref="BG261" si="760">IF(T$20="CYA",0,T261-T258)</f>
        <v>0</v>
      </c>
      <c r="BH261" s="281">
        <f t="shared" ref="BH261" si="761">IF(U$20="CYA",0,U261-U258)</f>
        <v>0</v>
      </c>
      <c r="BI261" s="281">
        <f t="shared" ref="BI261" si="762">IF(V$20="CYA",0,V261-V258)</f>
        <v>0</v>
      </c>
    </row>
    <row r="262" spans="1:63" ht="16.8">
      <c r="A262" s="105"/>
      <c r="B262" s="106"/>
      <c r="C262" s="112"/>
      <c r="D262" s="110"/>
      <c r="E262" s="112"/>
      <c r="F262" s="74"/>
      <c r="G262" s="75"/>
      <c r="H262" s="67"/>
      <c r="I262" s="71"/>
      <c r="J262" s="67"/>
      <c r="K262" s="67"/>
      <c r="L262" s="67"/>
      <c r="M262" s="67"/>
      <c r="N262" s="67"/>
      <c r="O262" s="67"/>
      <c r="P262" s="67"/>
      <c r="Q262" s="96"/>
      <c r="R262" s="96"/>
      <c r="S262" s="96"/>
      <c r="T262" s="96"/>
      <c r="U262" s="96"/>
      <c r="V262" s="96"/>
      <c r="W262" s="67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167"/>
      <c r="AS262" s="167"/>
      <c r="AT262" s="167"/>
      <c r="AU262" s="111"/>
      <c r="AV262" s="111"/>
      <c r="AW262" s="111"/>
      <c r="AX262" s="111"/>
      <c r="AY262" s="111"/>
      <c r="AZ262" s="111"/>
      <c r="BA262" s="111"/>
      <c r="BB262" s="111"/>
      <c r="BC262" s="111"/>
      <c r="BD262" s="111"/>
      <c r="BE262" s="111"/>
      <c r="BF262" s="111"/>
      <c r="BG262" s="111"/>
      <c r="BH262" s="111"/>
      <c r="BI262" s="111"/>
    </row>
    <row r="263" spans="1:63" ht="16.8">
      <c r="A263" s="105"/>
      <c r="B263" s="106"/>
      <c r="C263" s="112"/>
      <c r="D263" s="110"/>
      <c r="E263" s="112"/>
      <c r="F263" s="58"/>
      <c r="G263" s="100" t="s">
        <v>256</v>
      </c>
      <c r="H263" s="100"/>
      <c r="I263" s="116"/>
      <c r="J263" s="116"/>
      <c r="K263" s="116">
        <f>SUM(K241,K246,K251,K256,K261)</f>
        <v>411669.64999999997</v>
      </c>
      <c r="L263" s="116">
        <f>SUM(L241,L246,L251,L256,L261)</f>
        <v>-116406.30000000002</v>
      </c>
      <c r="M263" s="116">
        <f>SUM(M241,M246,M251,M256,M261)</f>
        <v>-3996771.9899999998</v>
      </c>
      <c r="N263" s="116">
        <f>SUM(N241,N246,N251,N256,N261)</f>
        <v>314286.97000000003</v>
      </c>
      <c r="O263" s="116">
        <f>SUM(O241,O246,O251,O256,O261)</f>
        <v>-430795.85000000009</v>
      </c>
      <c r="P263" s="116">
        <f>SUM(P241,P246,P251,P256,P261)</f>
        <v>-773585.24915032636</v>
      </c>
      <c r="Q263" s="116">
        <f>SUM(Q241,Q246,Q251,Q256,Q261)</f>
        <v>-773585.24915032636</v>
      </c>
      <c r="R263" s="116">
        <f>SUM(R241,R246,R251,R256,R261)</f>
        <v>-723676.52339869284</v>
      </c>
      <c r="S263" s="116">
        <f>SUM(S241,S246,S251,S256,S261)</f>
        <v>-773585.24915032636</v>
      </c>
      <c r="T263" s="116">
        <f>SUM(T241,T246,T251,T256,T261)</f>
        <v>-748630.8862745096</v>
      </c>
      <c r="U263" s="116">
        <f>SUM(U241,U246,U251,U256,U261)</f>
        <v>-773585.24915032636</v>
      </c>
      <c r="V263" s="116">
        <f>SUM(V241,V246,V251,V256,V261)</f>
        <v>-748630.8862745096</v>
      </c>
      <c r="W263" s="116">
        <f>SUM(W241,W246,W251,W256,W261)</f>
        <v>-9133296.8125490192</v>
      </c>
      <c r="X263" s="116"/>
      <c r="Y263" s="116">
        <f>SUM(Y241,Y246,Y251,Y256,Y261)</f>
        <v>-4886764.9193782853</v>
      </c>
      <c r="Z263" s="116">
        <f>W263-Y263</f>
        <v>-4246531.8931707339</v>
      </c>
      <c r="AA263" s="102">
        <f>IF(Y263=0,0,Z263/Y263)</f>
        <v>0.86898632597022807</v>
      </c>
      <c r="AB263" s="116"/>
      <c r="AC263" s="116">
        <f t="shared" ref="AC263:AN263" si="763">SUM(AC241,AC246,AC251,AC256,AC261)</f>
        <v>0</v>
      </c>
      <c r="AD263" s="116">
        <f t="shared" si="763"/>
        <v>0</v>
      </c>
      <c r="AE263" s="116">
        <f t="shared" si="763"/>
        <v>0</v>
      </c>
      <c r="AF263" s="116">
        <f t="shared" si="763"/>
        <v>0</v>
      </c>
      <c r="AG263" s="116">
        <f t="shared" si="763"/>
        <v>0</v>
      </c>
      <c r="AH263" s="116">
        <f t="shared" si="763"/>
        <v>0</v>
      </c>
      <c r="AI263" s="116">
        <f t="shared" si="763"/>
        <v>0</v>
      </c>
      <c r="AJ263" s="116">
        <f t="shared" si="763"/>
        <v>0</v>
      </c>
      <c r="AK263" s="116">
        <f t="shared" si="763"/>
        <v>0</v>
      </c>
      <c r="AL263" s="116">
        <f t="shared" si="763"/>
        <v>0</v>
      </c>
      <c r="AM263" s="116">
        <f t="shared" si="763"/>
        <v>0</v>
      </c>
      <c r="AN263" s="116">
        <f t="shared" si="763"/>
        <v>0</v>
      </c>
      <c r="AO263" s="67"/>
      <c r="AR263" s="167"/>
      <c r="AS263" s="167"/>
      <c r="AT263" s="167"/>
      <c r="AU263" s="111"/>
      <c r="AV263" s="111"/>
      <c r="AW263" s="111"/>
      <c r="AX263" s="111"/>
      <c r="AY263" s="111"/>
      <c r="AZ263" s="111"/>
      <c r="BA263" s="111"/>
      <c r="BB263" s="111"/>
      <c r="BC263" s="111"/>
      <c r="BD263" s="111"/>
      <c r="BE263" s="111"/>
      <c r="BF263" s="111"/>
      <c r="BG263" s="111"/>
      <c r="BH263" s="111"/>
      <c r="BI263" s="111"/>
    </row>
    <row r="264" spans="1:63" ht="16.8">
      <c r="A264" s="105"/>
      <c r="B264" s="106"/>
      <c r="C264" s="112"/>
      <c r="D264" s="110"/>
      <c r="E264" s="112"/>
      <c r="F264" s="58"/>
      <c r="G264" s="95"/>
      <c r="H264" s="95"/>
      <c r="I264" s="95"/>
      <c r="J264" s="67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67"/>
      <c r="AR264" s="167"/>
      <c r="AS264" s="167"/>
      <c r="AT264" s="167"/>
      <c r="AU264" s="111"/>
      <c r="AV264" s="111"/>
      <c r="AW264" s="111"/>
      <c r="AX264" s="111"/>
      <c r="AY264" s="111"/>
      <c r="AZ264" s="111"/>
      <c r="BA264" s="111"/>
      <c r="BB264" s="111"/>
      <c r="BC264" s="111"/>
      <c r="BD264" s="111"/>
      <c r="BE264" s="111"/>
      <c r="BF264" s="111"/>
      <c r="BG264" s="111"/>
      <c r="BH264" s="111"/>
      <c r="BI264" s="111"/>
    </row>
    <row r="265" spans="1:63" ht="17.399999999999999" thickBot="1">
      <c r="A265" s="105" t="str">
        <f>C265</f>
        <v>R_NonOpExtraord</v>
      </c>
      <c r="B265" s="106"/>
      <c r="C265" s="112" t="s">
        <v>360</v>
      </c>
      <c r="D265" s="110"/>
      <c r="E265" s="112"/>
      <c r="F265" s="58"/>
      <c r="G265" s="95" t="s">
        <v>257</v>
      </c>
      <c r="H265" s="95"/>
      <c r="I265" s="95"/>
      <c r="J265" s="67"/>
      <c r="K265" s="96">
        <v>-5918666.0099999998</v>
      </c>
      <c r="L265" s="96">
        <v>2927006.15</v>
      </c>
      <c r="M265" s="96">
        <v>8393230.9299999997</v>
      </c>
      <c r="N265" s="96">
        <v>-3512125.29</v>
      </c>
      <c r="O265" s="96">
        <v>-811242.02</v>
      </c>
      <c r="P265" s="96">
        <v>218459.585359477</v>
      </c>
      <c r="Q265" s="96">
        <v>218459.585359477</v>
      </c>
      <c r="R265" s="96">
        <v>204365.418562092</v>
      </c>
      <c r="S265" s="96">
        <v>218459.585359477</v>
      </c>
      <c r="T265" s="96">
        <v>211412.50196078399</v>
      </c>
      <c r="U265" s="96">
        <v>218459.585359477</v>
      </c>
      <c r="V265" s="96">
        <v>211412.50196078399</v>
      </c>
      <c r="W265" s="96">
        <f>SUM(K265:V265)</f>
        <v>2579232.5239215684</v>
      </c>
      <c r="X265" s="96"/>
      <c r="Y265" s="96">
        <v>3795202.1980679105</v>
      </c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R265" s="167"/>
      <c r="AS265" s="167"/>
      <c r="AT265" s="167"/>
      <c r="AU265" s="111"/>
      <c r="AV265" s="111"/>
      <c r="AW265" s="111">
        <v>1</v>
      </c>
      <c r="AX265" s="111"/>
      <c r="AY265" s="111"/>
      <c r="AZ265" s="111"/>
      <c r="BA265" s="111"/>
      <c r="BB265" s="111"/>
      <c r="BC265" s="111"/>
      <c r="BD265" s="111"/>
      <c r="BE265" s="111"/>
      <c r="BF265" s="111"/>
      <c r="BG265" s="111"/>
      <c r="BH265" s="111"/>
      <c r="BI265" s="111"/>
    </row>
    <row r="266" spans="1:63" ht="18" thickTop="1" thickBot="1">
      <c r="A266" s="113"/>
      <c r="B266" s="114"/>
      <c r="C266" s="112" t="str">
        <f>"ACCT.FSDetail='"&amp;C265&amp;"'"</f>
        <v>ACCT.FSDetail='R_NonOpExtraord'</v>
      </c>
      <c r="D266" s="110" t="s">
        <v>411</v>
      </c>
      <c r="E266" s="112"/>
      <c r="F266" s="58"/>
      <c r="G266" s="95" t="s">
        <v>328</v>
      </c>
      <c r="H266" s="95"/>
      <c r="I266" s="95"/>
      <c r="J266" s="46"/>
      <c r="K266" s="86">
        <v>0</v>
      </c>
      <c r="L266" s="86">
        <v>0</v>
      </c>
      <c r="M266" s="86">
        <v>0</v>
      </c>
      <c r="N266" s="86">
        <v>0</v>
      </c>
      <c r="O266" s="86">
        <v>0</v>
      </c>
      <c r="P266" s="86">
        <v>0</v>
      </c>
      <c r="Q266" s="86">
        <v>0</v>
      </c>
      <c r="R266" s="86">
        <v>0</v>
      </c>
      <c r="S266" s="90">
        <f t="shared" ref="S266:V267" si="764">AK266</f>
        <v>0</v>
      </c>
      <c r="T266" s="90">
        <f t="shared" si="764"/>
        <v>0</v>
      </c>
      <c r="U266" s="90">
        <f t="shared" si="764"/>
        <v>0</v>
      </c>
      <c r="V266" s="90">
        <f t="shared" si="764"/>
        <v>0</v>
      </c>
      <c r="W266" s="97">
        <f>IF(W268=0,0,1-(SUM(W267,W265)/W268))</f>
        <v>0</v>
      </c>
      <c r="X266" s="97"/>
      <c r="Y266" s="97"/>
      <c r="Z266" s="97"/>
      <c r="AA266" s="97"/>
      <c r="AB266" s="97"/>
      <c r="AC266" s="97" cm="1">
        <f t="array" ref="AC266">IF(AC$7="",0,_xll.GetData(AC$7,$AQ266))</f>
        <v>0</v>
      </c>
      <c r="AD266" s="97" cm="1">
        <f t="array" ref="AD266">IF(AD$7="",0,_xll.GetData(AD$7,$AQ266))</f>
        <v>0</v>
      </c>
      <c r="AE266" s="97" cm="1">
        <f t="array" ref="AE266">IF(AE$7="",0,_xll.GetData(AE$7,$AQ266))</f>
        <v>0</v>
      </c>
      <c r="AF266" s="97" cm="1">
        <f t="array" ref="AF266">IF(AF$7="",0,_xll.GetData(AF$7,$AQ266))</f>
        <v>0</v>
      </c>
      <c r="AG266" s="97" cm="1">
        <f t="array" ref="AG266">IF(AG$7="",0,_xll.GetData(AG$7,$AQ266))</f>
        <v>0</v>
      </c>
      <c r="AH266" s="97" cm="1">
        <f t="array" ref="AH266">IF(AH$7="",0,_xll.GetData(AH$7,$AQ266))</f>
        <v>0</v>
      </c>
      <c r="AI266" s="97" cm="1">
        <f t="array" ref="AI266">IF(AI$7="",0,_xll.GetData(AI$7,$AQ266))</f>
        <v>0</v>
      </c>
      <c r="AJ266" s="97" cm="1">
        <f t="array" ref="AJ266">IF(AJ$7="",0,_xll.GetData(AJ$7,$AQ266))</f>
        <v>0</v>
      </c>
      <c r="AK266" s="97" cm="1">
        <f t="array" ref="AK266">IF(AK$7="",0,_xll.GetData(AK$7,$AQ266))</f>
        <v>0</v>
      </c>
      <c r="AL266" s="97" cm="1">
        <f t="array" ref="AL266">IF(AL$7="",0,_xll.GetData(AL$7,$AQ266))</f>
        <v>0</v>
      </c>
      <c r="AM266" s="97" cm="1">
        <f t="array" ref="AM266">IF(AM$7="",0,_xll.GetData(AM$7,$AQ266))</f>
        <v>0</v>
      </c>
      <c r="AN266" s="97" cm="1">
        <f t="array" ref="AN266">IF(AN$7="",0,_xll.GetData(AN$7,$AQ266))</f>
        <v>0</v>
      </c>
      <c r="AO266" s="46"/>
      <c r="AP266" s="111">
        <f>AP268</f>
        <v>71</v>
      </c>
      <c r="AQ266" s="111" t="str">
        <f>"Dept="&amp;AU266&amp;" And Acct="&amp;AV266</f>
        <v>Dept=0 And Acct=54517</v>
      </c>
      <c r="AR266" s="167" t="str">
        <f>IF(OR(AU266=0,AV266=0),"NoSave","[Save]")</f>
        <v>NoSave</v>
      </c>
      <c r="AS266" s="167"/>
      <c r="AT266" s="167"/>
      <c r="AU266" s="111">
        <f>AU268</f>
        <v>0</v>
      </c>
      <c r="AV266" s="111">
        <f>AV268</f>
        <v>54517</v>
      </c>
      <c r="AW266" s="111">
        <v>1</v>
      </c>
      <c r="AX266" s="280">
        <f>IF(K$20="CYA",0,K266)</f>
        <v>0</v>
      </c>
      <c r="AY266" s="280">
        <f t="shared" ref="AY266:AY267" si="765">IF(L$20="CYA",0,L266)</f>
        <v>0</v>
      </c>
      <c r="AZ266" s="280">
        <f t="shared" ref="AZ266:AZ267" si="766">IF(M$20="CYA",0,M266)</f>
        <v>0</v>
      </c>
      <c r="BA266" s="280">
        <f t="shared" ref="BA266:BA267" si="767">IF(N$20="CYA",0,N266)</f>
        <v>0</v>
      </c>
      <c r="BB266" s="280">
        <f t="shared" ref="BB266:BB267" si="768">IF(O$20="CYA",0,O266)</f>
        <v>0</v>
      </c>
      <c r="BC266" s="280">
        <f t="shared" ref="BC266:BC267" si="769">IF(P$20="CYA",0,P266)</f>
        <v>0</v>
      </c>
      <c r="BD266" s="280">
        <f t="shared" ref="BD266:BD267" si="770">IF(Q$20="CYA",0,Q266)</f>
        <v>0</v>
      </c>
      <c r="BE266" s="280">
        <f t="shared" ref="BE266:BE267" si="771">IF(R$20="CYA",0,R266)</f>
        <v>0</v>
      </c>
      <c r="BF266" s="280">
        <f t="shared" ref="BF266:BF267" si="772">IF(S$20="CYA",0,S266)</f>
        <v>0</v>
      </c>
      <c r="BG266" s="280">
        <f t="shared" ref="BG266:BG267" si="773">IF(T$20="CYA",0,T266)</f>
        <v>0</v>
      </c>
      <c r="BH266" s="280">
        <f t="shared" ref="BH266:BH267" si="774">IF(U$20="CYA",0,U266)</f>
        <v>0</v>
      </c>
      <c r="BI266" s="280">
        <f t="shared" ref="BI266:BI267" si="775">IF(V$20="CYA",0,V266)</f>
        <v>0</v>
      </c>
      <c r="BJ266" s="90">
        <f>CB266</f>
        <v>0</v>
      </c>
      <c r="BK266" s="86">
        <v>0</v>
      </c>
    </row>
    <row r="267" spans="1:63" ht="18" thickTop="1" thickBot="1">
      <c r="A267" s="105"/>
      <c r="B267" s="106"/>
      <c r="C267" s="112" t="str">
        <f>C266</f>
        <v>ACCT.FSDetail='R_NonOpExtraord'</v>
      </c>
      <c r="D267" s="110" t="s">
        <v>411</v>
      </c>
      <c r="E267" s="112"/>
      <c r="F267" s="58"/>
      <c r="G267" s="95" t="s">
        <v>329</v>
      </c>
      <c r="H267" s="95"/>
      <c r="I267" s="95"/>
      <c r="J267" s="67"/>
      <c r="K267" s="96">
        <v>0</v>
      </c>
      <c r="L267" s="96">
        <v>0</v>
      </c>
      <c r="M267" s="96">
        <v>0</v>
      </c>
      <c r="N267" s="96">
        <v>0</v>
      </c>
      <c r="O267" s="96">
        <v>0</v>
      </c>
      <c r="P267" s="96">
        <v>0</v>
      </c>
      <c r="Q267" s="96">
        <v>0</v>
      </c>
      <c r="R267" s="96">
        <v>0</v>
      </c>
      <c r="S267" s="89">
        <f t="shared" si="764"/>
        <v>0</v>
      </c>
      <c r="T267" s="89">
        <f t="shared" si="764"/>
        <v>0</v>
      </c>
      <c r="U267" s="89">
        <f t="shared" si="764"/>
        <v>0</v>
      </c>
      <c r="V267" s="89">
        <f t="shared" si="764"/>
        <v>0</v>
      </c>
      <c r="W267" s="96">
        <f>SUM(K267:V267)</f>
        <v>0</v>
      </c>
      <c r="X267" s="96"/>
      <c r="Y267" s="96"/>
      <c r="Z267" s="96"/>
      <c r="AA267" s="96"/>
      <c r="AB267" s="96"/>
      <c r="AC267" s="96" cm="1">
        <f t="array" ref="AC267">IF(AC$8="",0,_xll.GetData(AC$8,$AQ267))</f>
        <v>0</v>
      </c>
      <c r="AD267" s="96" cm="1">
        <f t="array" ref="AD267">IF(AD$8="",0,_xll.GetData(AD$8,$AQ267))</f>
        <v>0</v>
      </c>
      <c r="AE267" s="96" cm="1">
        <f t="array" ref="AE267">IF(AE$8="",0,_xll.GetData(AE$8,$AQ267))</f>
        <v>0</v>
      </c>
      <c r="AF267" s="96" cm="1">
        <f t="array" ref="AF267">IF(AF$8="",0,_xll.GetData(AF$8,$AQ267))</f>
        <v>0</v>
      </c>
      <c r="AG267" s="96" cm="1">
        <f t="array" ref="AG267">IF(AG$8="",0,_xll.GetData(AG$8,$AQ267))</f>
        <v>0</v>
      </c>
      <c r="AH267" s="96" cm="1">
        <f t="array" ref="AH267">IF(AH$8="",0,_xll.GetData(AH$8,$AQ267))</f>
        <v>0</v>
      </c>
      <c r="AI267" s="96" cm="1">
        <f t="array" ref="AI267">IF(AI$8="",0,_xll.GetData(AI$8,$AQ267))</f>
        <v>0</v>
      </c>
      <c r="AJ267" s="96" cm="1">
        <f t="array" ref="AJ267">IF(AJ$8="",0,_xll.GetData(AJ$8,$AQ267))</f>
        <v>0</v>
      </c>
      <c r="AK267" s="96" cm="1">
        <f t="array" ref="AK267">IF(AK$8="",0,_xll.GetData(AK$8,$AQ267))</f>
        <v>0</v>
      </c>
      <c r="AL267" s="96" cm="1">
        <f t="array" ref="AL267">IF(AL$8="",0,_xll.GetData(AL$8,$AQ267))</f>
        <v>0</v>
      </c>
      <c r="AM267" s="96" cm="1">
        <f t="array" ref="AM267">IF(AM$8="",0,_xll.GetData(AM$8,$AQ267))</f>
        <v>0</v>
      </c>
      <c r="AN267" s="96" cm="1">
        <f t="array" ref="AN267">IF(AN$8="",0,_xll.GetData(AN$8,$AQ267))</f>
        <v>0</v>
      </c>
      <c r="AO267" s="69"/>
      <c r="AP267" s="111">
        <f>AP268</f>
        <v>71</v>
      </c>
      <c r="AQ267" s="111" t="str">
        <f>"Dept="&amp;AU267&amp;" And Acct="&amp;AV267</f>
        <v>Dept=0 And Acct=54517</v>
      </c>
      <c r="AR267" s="167"/>
      <c r="AS267" s="167" t="str">
        <f>IF(OR(AU267=0,AV267=0),"NoSave","[Save]")</f>
        <v>NoSave</v>
      </c>
      <c r="AT267" s="167"/>
      <c r="AU267" s="111">
        <f>AU268</f>
        <v>0</v>
      </c>
      <c r="AV267" s="111">
        <f>AV268</f>
        <v>54517</v>
      </c>
      <c r="AW267" s="111">
        <v>1</v>
      </c>
      <c r="AX267" s="281">
        <f>IF(K$20="CYA",0,K267)</f>
        <v>0</v>
      </c>
      <c r="AY267" s="281">
        <f t="shared" si="765"/>
        <v>0</v>
      </c>
      <c r="AZ267" s="281">
        <f t="shared" si="766"/>
        <v>0</v>
      </c>
      <c r="BA267" s="281">
        <f t="shared" si="767"/>
        <v>0</v>
      </c>
      <c r="BB267" s="281">
        <f t="shared" si="768"/>
        <v>0</v>
      </c>
      <c r="BC267" s="281">
        <f t="shared" si="769"/>
        <v>0</v>
      </c>
      <c r="BD267" s="281">
        <f t="shared" si="770"/>
        <v>0</v>
      </c>
      <c r="BE267" s="281">
        <f t="shared" si="771"/>
        <v>0</v>
      </c>
      <c r="BF267" s="281">
        <f t="shared" si="772"/>
        <v>0</v>
      </c>
      <c r="BG267" s="281">
        <f t="shared" si="773"/>
        <v>0</v>
      </c>
      <c r="BH267" s="281">
        <f t="shared" si="774"/>
        <v>0</v>
      </c>
      <c r="BI267" s="281">
        <f t="shared" si="775"/>
        <v>0</v>
      </c>
      <c r="BJ267" s="89">
        <f>CB267</f>
        <v>0</v>
      </c>
      <c r="BK267" s="96">
        <v>0</v>
      </c>
    </row>
    <row r="268" spans="1:63" ht="17.399999999999999" thickTop="1">
      <c r="A268" s="105"/>
      <c r="B268" s="106" t="str">
        <f>C265</f>
        <v>R_NonOpExtraord</v>
      </c>
      <c r="C268" s="112"/>
      <c r="D268" s="110"/>
      <c r="E268" s="112"/>
      <c r="F268" s="74"/>
      <c r="G268" s="100" t="str">
        <f>"   Total "&amp;G265</f>
        <v xml:space="preserve">   Total Extraordinary Item</v>
      </c>
      <c r="H268" s="100"/>
      <c r="I268" s="100"/>
      <c r="J268" s="100"/>
      <c r="K268" s="116">
        <f>IF(K$20="CYA",K265,K265*(1+K266)+K267)</f>
        <v>-5918666.0099999998</v>
      </c>
      <c r="L268" s="116">
        <f>IF(L$20="CYA",L265,L265*(1+L266)+L267)</f>
        <v>2927006.15</v>
      </c>
      <c r="M268" s="116">
        <f>IF(M$20="CYA",M265,M265*(1+M266)+M267)</f>
        <v>8393230.9299999997</v>
      </c>
      <c r="N268" s="116">
        <f>IF(N$20="CYA",N265,N265*(1+N266)+N267)</f>
        <v>-3512125.29</v>
      </c>
      <c r="O268" s="116">
        <f>IF(O$20="CYA",O265,O265*(1+O266)+O267)</f>
        <v>-811242.02</v>
      </c>
      <c r="P268" s="116">
        <f>IF(P$20="CYA",P265,P265*(1+P266)+P267)</f>
        <v>218459.585359477</v>
      </c>
      <c r="Q268" s="116">
        <f>IF(Q$20="CYA",Q265,Q265*(1+Q266)+Q267)</f>
        <v>218459.585359477</v>
      </c>
      <c r="R268" s="116">
        <f>IF(R$20="CYA",R265,R265*(1+R266)+R267)</f>
        <v>204365.418562092</v>
      </c>
      <c r="S268" s="116">
        <f>IF(S$20="CYA",S265,S265*(1+S266)+S267)</f>
        <v>218459.585359477</v>
      </c>
      <c r="T268" s="116">
        <f>IF(T$20="CYA",T265,T265*(1+T266)+T267)</f>
        <v>211412.50196078399</v>
      </c>
      <c r="U268" s="116">
        <f>IF(U$20="CYA",U265,U265*(1+U266)+U267)</f>
        <v>218459.585359477</v>
      </c>
      <c r="V268" s="116">
        <f>IF(V$20="CYA",V265,V265*(1+V266)+V267)</f>
        <v>211412.50196078399</v>
      </c>
      <c r="W268" s="116">
        <f>SUM(K268:V268)</f>
        <v>2579232.5239215684</v>
      </c>
      <c r="X268" s="116"/>
      <c r="Y268" s="116">
        <f>SUM(Y265:Y267)</f>
        <v>3795202.1980679105</v>
      </c>
      <c r="Z268" s="116">
        <f>W268-Y268</f>
        <v>-1215969.6741463421</v>
      </c>
      <c r="AA268" s="102">
        <f>IF(Y268=0,0,Z268/Y268)</f>
        <v>-0.32039654560839392</v>
      </c>
      <c r="AB268" s="116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67"/>
      <c r="AP268" s="111">
        <f>ROW(Control!D71)</f>
        <v>71</v>
      </c>
      <c r="AQ268" s="111"/>
      <c r="AR268" s="167"/>
      <c r="AS268" s="167"/>
      <c r="AT268" s="167" t="str">
        <f>IF(OR(AU268=0,AV268=0),"NoSave","[Save]")</f>
        <v>NoSave</v>
      </c>
      <c r="AU268" s="111" cm="1">
        <f t="array" ref="AU268">INDEX(Control!G$1:G$9997,$AP268)</f>
        <v>0</v>
      </c>
      <c r="AV268" s="111" cm="1">
        <f t="array" ref="AV268">INDEX(Control!I$1:I$9997,$AP268)</f>
        <v>54517</v>
      </c>
      <c r="AW268" s="111">
        <v>1</v>
      </c>
      <c r="AX268" s="281">
        <f>IF(K$20="CYA",0,K268-K265)</f>
        <v>0</v>
      </c>
      <c r="AY268" s="281">
        <f t="shared" ref="AY268" si="776">IF(L$20="CYA",0,L268-L265)</f>
        <v>0</v>
      </c>
      <c r="AZ268" s="281">
        <f t="shared" ref="AZ268" si="777">IF(M$20="CYA",0,M268-M265)</f>
        <v>0</v>
      </c>
      <c r="BA268" s="281">
        <f t="shared" ref="BA268" si="778">IF(N$20="CYA",0,N268-N265)</f>
        <v>0</v>
      </c>
      <c r="BB268" s="281">
        <f t="shared" ref="BB268" si="779">IF(O$20="CYA",0,O268-O265)</f>
        <v>0</v>
      </c>
      <c r="BC268" s="281">
        <f t="shared" ref="BC268" si="780">IF(P$20="CYA",0,P268-P265)</f>
        <v>0</v>
      </c>
      <c r="BD268" s="281">
        <f t="shared" ref="BD268" si="781">IF(Q$20="CYA",0,Q268-Q265)</f>
        <v>0</v>
      </c>
      <c r="BE268" s="281">
        <f t="shared" ref="BE268" si="782">IF(R$20="CYA",0,R268-R265)</f>
        <v>0</v>
      </c>
      <c r="BF268" s="281">
        <f t="shared" ref="BF268" si="783">IF(S$20="CYA",0,S268-S265)</f>
        <v>0</v>
      </c>
      <c r="BG268" s="281">
        <f t="shared" ref="BG268" si="784">IF(T$20="CYA",0,T268-T265)</f>
        <v>0</v>
      </c>
      <c r="BH268" s="281">
        <f t="shared" ref="BH268" si="785">IF(U$20="CYA",0,U268-U265)</f>
        <v>0</v>
      </c>
      <c r="BI268" s="281">
        <f t="shared" ref="BI268" si="786">IF(V$20="CYA",0,V268-V265)</f>
        <v>0</v>
      </c>
    </row>
    <row r="269" spans="1:63" ht="16.8">
      <c r="A269" s="105"/>
      <c r="B269" s="106"/>
      <c r="C269" s="112"/>
      <c r="D269" s="110"/>
      <c r="E269" s="112"/>
      <c r="F269" s="74"/>
      <c r="G269" s="75"/>
      <c r="H269" s="67"/>
      <c r="I269" s="71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111"/>
      <c r="AQ269" s="111"/>
      <c r="AR269" s="167"/>
      <c r="AS269" s="167"/>
      <c r="AT269" s="167"/>
      <c r="AU269" s="111"/>
      <c r="AV269" s="111"/>
      <c r="AW269" s="111"/>
      <c r="AX269" s="111"/>
      <c r="AY269" s="111"/>
      <c r="AZ269" s="111"/>
      <c r="BA269" s="111"/>
      <c r="BB269" s="111"/>
      <c r="BC269" s="111"/>
      <c r="BD269" s="111"/>
      <c r="BE269" s="111"/>
      <c r="BF269" s="111"/>
      <c r="BG269" s="111"/>
      <c r="BH269" s="111"/>
      <c r="BI269" s="111"/>
    </row>
    <row r="270" spans="1:63" ht="16.8">
      <c r="A270" s="105"/>
      <c r="B270" s="106"/>
      <c r="C270" s="112"/>
      <c r="D270" s="110"/>
      <c r="E270" s="112"/>
      <c r="F270" s="58"/>
      <c r="G270" s="103" t="s">
        <v>258</v>
      </c>
      <c r="H270" s="103"/>
      <c r="I270" s="103"/>
      <c r="J270" s="103"/>
      <c r="K270" s="104">
        <f ca="1">SUM(K233,K263,K268)</f>
        <v>-5869803.3695891872</v>
      </c>
      <c r="L270" s="104">
        <f ca="1">SUM(L233,L263,L268)</f>
        <v>1570546.8335757649</v>
      </c>
      <c r="M270" s="104">
        <f ca="1">SUM(M233,M263,M268)</f>
        <v>5017165.1530412827</v>
      </c>
      <c r="N270" s="104">
        <f ca="1">SUM(N233,N263,N268)</f>
        <v>-3676148.8798180516</v>
      </c>
      <c r="O270" s="104">
        <f ca="1">SUM(O233,O263,O268)</f>
        <v>59737.377943013795</v>
      </c>
      <c r="P270" s="104">
        <f ca="1">SUM(P233,P263,P268)</f>
        <v>573639.72769377253</v>
      </c>
      <c r="Q270" s="104">
        <f ca="1">SUM(Q233,Q263,Q268)</f>
        <v>2107254.502656477</v>
      </c>
      <c r="R270" s="104">
        <f ca="1">SUM(R233,R263,R268)</f>
        <v>1238074.7858724305</v>
      </c>
      <c r="S270" s="104">
        <f ca="1">SUM(S233,S263,S268)</f>
        <v>1359653.147378406</v>
      </c>
      <c r="T270" s="104">
        <f ca="1">SUM(T233,T263,T268)</f>
        <v>2011466.3830103606</v>
      </c>
      <c r="U270" s="104">
        <f ca="1">SUM(U233,U263,U268)</f>
        <v>876340.23737792543</v>
      </c>
      <c r="V270" s="104">
        <f ca="1">SUM(V233,V263,V268)</f>
        <v>-3128786.2343421956</v>
      </c>
      <c r="W270" s="104">
        <f ca="1">SUM(W233,W263,W268)</f>
        <v>2139139.6648001024</v>
      </c>
      <c r="X270" s="104"/>
      <c r="Y270" s="104">
        <f ca="1">SUM(Y233,Y263,Y268)</f>
        <v>21559804.166657988</v>
      </c>
      <c r="Z270" s="104">
        <f ca="1">W270-Y270</f>
        <v>-19420664.501857884</v>
      </c>
      <c r="AA270" s="124">
        <f ca="1">IF(Y270=0,0,Z270/Y270)</f>
        <v>-0.90078111803500238</v>
      </c>
      <c r="AB270" s="104"/>
      <c r="AC270" s="104">
        <f t="shared" ref="AC270:AN270" ca="1" si="787">SUM(AC233,AC263,AC268)</f>
        <v>0</v>
      </c>
      <c r="AD270" s="104">
        <f t="shared" ca="1" si="787"/>
        <v>0</v>
      </c>
      <c r="AE270" s="104">
        <f t="shared" ca="1" si="787"/>
        <v>0</v>
      </c>
      <c r="AF270" s="104">
        <f t="shared" ca="1" si="787"/>
        <v>0</v>
      </c>
      <c r="AG270" s="104">
        <f t="shared" ca="1" si="787"/>
        <v>0</v>
      </c>
      <c r="AH270" s="104">
        <f t="shared" ca="1" si="787"/>
        <v>0</v>
      </c>
      <c r="AI270" s="104">
        <f t="shared" ca="1" si="787"/>
        <v>0</v>
      </c>
      <c r="AJ270" s="104">
        <f t="shared" ca="1" si="787"/>
        <v>0</v>
      </c>
      <c r="AK270" s="104">
        <f t="shared" ca="1" si="787"/>
        <v>0</v>
      </c>
      <c r="AL270" s="104">
        <f t="shared" ca="1" si="787"/>
        <v>0</v>
      </c>
      <c r="AM270" s="104">
        <f t="shared" ca="1" si="787"/>
        <v>0</v>
      </c>
      <c r="AN270" s="104">
        <f t="shared" ca="1" si="787"/>
        <v>0</v>
      </c>
      <c r="AO270" s="67"/>
      <c r="AU270" s="55"/>
      <c r="AV270" s="55"/>
      <c r="AW270" s="55"/>
    </row>
    <row r="271" spans="1:63" ht="16.8">
      <c r="A271" s="105"/>
      <c r="B271" s="106"/>
      <c r="C271" s="48"/>
      <c r="D271" s="57"/>
      <c r="E271" s="48"/>
      <c r="I271" s="71"/>
    </row>
    <row r="272" spans="1:63" ht="16.8">
      <c r="A272" s="105" t="s">
        <v>361</v>
      </c>
      <c r="B272" s="106" t="s">
        <v>361</v>
      </c>
      <c r="I272" s="71"/>
    </row>
    <row r="273" spans="9:9">
      <c r="I273" s="71"/>
    </row>
  </sheetData>
  <sheetProtection formatCells="0" autoFilter="0"/>
  <phoneticPr fontId="83" type="noConversion"/>
  <conditionalFormatting sqref="K41:V41 K47:V47 K53:V53 L63:V63 K101:V101 K121:V121 K149:V149 K156:V156 K162:V162 K167:V167 K172:V172 K178:V178 K184:V184 K190:V190 K195:V195 K200:V200 K205:V205 K210:V210 K215:V215 K220:V220 K225:V225 K113 K238:V238 K243:V243 K248:V248 K253:V253 K258:V258 K265:V265 W72 W80 W88">
    <cfRule type="expression" dxfId="1340" priority="4950" stopIfTrue="1">
      <formula>K$20="CYA"</formula>
    </cfRule>
  </conditionalFormatting>
  <conditionalFormatting sqref="K63:V63">
    <cfRule type="expression" dxfId="1339" priority="4948" stopIfTrue="1">
      <formula>K$20="CYA"</formula>
    </cfRule>
  </conditionalFormatting>
  <conditionalFormatting sqref="K71:P71">
    <cfRule type="expression" dxfId="1338" priority="4946" stopIfTrue="1">
      <formula>K$20="CYA"</formula>
    </cfRule>
  </conditionalFormatting>
  <conditionalFormatting sqref="K79:P79">
    <cfRule type="expression" dxfId="1337" priority="4944" stopIfTrue="1">
      <formula>K$20="CYA"</formula>
    </cfRule>
  </conditionalFormatting>
  <conditionalFormatting sqref="K87:P87">
    <cfRule type="expression" dxfId="1336" priority="4942" stopIfTrue="1">
      <formula>K$20="CYA"</formula>
    </cfRule>
  </conditionalFormatting>
  <conditionalFormatting sqref="D10:D11">
    <cfRule type="expression" dxfId="1335" priority="4939" stopIfTrue="1">
      <formula>D$20="CYA"</formula>
    </cfRule>
  </conditionalFormatting>
  <conditionalFormatting sqref="Q62">
    <cfRule type="expression" dxfId="1334" priority="4938" stopIfTrue="1">
      <formula>Q$20="CYA"</formula>
    </cfRule>
  </conditionalFormatting>
  <conditionalFormatting sqref="R62">
    <cfRule type="expression" dxfId="1333" priority="4937" stopIfTrue="1">
      <formula>R$20="CYA"</formula>
    </cfRule>
  </conditionalFormatting>
  <conditionalFormatting sqref="S62">
    <cfRule type="expression" dxfId="1332" priority="4936" stopIfTrue="1">
      <formula>S$20="CYA"</formula>
    </cfRule>
  </conditionalFormatting>
  <conditionalFormatting sqref="T62">
    <cfRule type="expression" dxfId="1331" priority="4935" stopIfTrue="1">
      <formula>T$20="CYA"</formula>
    </cfRule>
  </conditionalFormatting>
  <conditionalFormatting sqref="U62">
    <cfRule type="expression" dxfId="1330" priority="4934" stopIfTrue="1">
      <formula>U$20="CYA"</formula>
    </cfRule>
  </conditionalFormatting>
  <conditionalFormatting sqref="V62">
    <cfRule type="expression" dxfId="1329" priority="4933" stopIfTrue="1">
      <formula>V$20="CYA"</formula>
    </cfRule>
  </conditionalFormatting>
  <conditionalFormatting sqref="Q64">
    <cfRule type="expression" dxfId="1328" priority="4932" stopIfTrue="1">
      <formula>Q$20="CYA"</formula>
    </cfRule>
  </conditionalFormatting>
  <conditionalFormatting sqref="R64">
    <cfRule type="expression" dxfId="1327" priority="4931" stopIfTrue="1">
      <formula>R$20="CYA"</formula>
    </cfRule>
  </conditionalFormatting>
  <conditionalFormatting sqref="S64">
    <cfRule type="expression" dxfId="1326" priority="4930" stopIfTrue="1">
      <formula>S$20="CYA"</formula>
    </cfRule>
  </conditionalFormatting>
  <conditionalFormatting sqref="T64">
    <cfRule type="expression" dxfId="1325" priority="4929" stopIfTrue="1">
      <formula>T$20="CYA"</formula>
    </cfRule>
  </conditionalFormatting>
  <conditionalFormatting sqref="U64">
    <cfRule type="expression" dxfId="1324" priority="4928" stopIfTrue="1">
      <formula>U$20="CYA"</formula>
    </cfRule>
  </conditionalFormatting>
  <conditionalFormatting sqref="V64">
    <cfRule type="expression" dxfId="1323" priority="4927" stopIfTrue="1">
      <formula>V$20="CYA"</formula>
    </cfRule>
  </conditionalFormatting>
  <conditionalFormatting sqref="Q70">
    <cfRule type="expression" dxfId="1322" priority="4926" stopIfTrue="1">
      <formula>Q$20="CYA"</formula>
    </cfRule>
  </conditionalFormatting>
  <conditionalFormatting sqref="R70">
    <cfRule type="expression" dxfId="1321" priority="4925" stopIfTrue="1">
      <formula>R$20="CYA"</formula>
    </cfRule>
  </conditionalFormatting>
  <conditionalFormatting sqref="S70">
    <cfRule type="expression" dxfId="1320" priority="4924" stopIfTrue="1">
      <formula>S$20="CYA"</formula>
    </cfRule>
  </conditionalFormatting>
  <conditionalFormatting sqref="T70">
    <cfRule type="expression" dxfId="1319" priority="4923" stopIfTrue="1">
      <formula>T$20="CYA"</formula>
    </cfRule>
  </conditionalFormatting>
  <conditionalFormatting sqref="U70">
    <cfRule type="expression" dxfId="1318" priority="4922" stopIfTrue="1">
      <formula>U$20="CYA"</formula>
    </cfRule>
  </conditionalFormatting>
  <conditionalFormatting sqref="V70">
    <cfRule type="expression" dxfId="1317" priority="4921" stopIfTrue="1">
      <formula>V$20="CYA"</formula>
    </cfRule>
  </conditionalFormatting>
  <conditionalFormatting sqref="Q71">
    <cfRule type="expression" dxfId="1316" priority="4920" stopIfTrue="1">
      <formula>Q$20="CYA"</formula>
    </cfRule>
  </conditionalFormatting>
  <conditionalFormatting sqref="R71">
    <cfRule type="expression" dxfId="1315" priority="4919" stopIfTrue="1">
      <formula>R$20="CYA"</formula>
    </cfRule>
  </conditionalFormatting>
  <conditionalFormatting sqref="S71">
    <cfRule type="expression" dxfId="1314" priority="4918" stopIfTrue="1">
      <formula>S$20="CYA"</formula>
    </cfRule>
  </conditionalFormatting>
  <conditionalFormatting sqref="T71">
    <cfRule type="expression" dxfId="1313" priority="4917" stopIfTrue="1">
      <formula>T$20="CYA"</formula>
    </cfRule>
  </conditionalFormatting>
  <conditionalFormatting sqref="U71">
    <cfRule type="expression" dxfId="1312" priority="4916" stopIfTrue="1">
      <formula>U$20="CYA"</formula>
    </cfRule>
  </conditionalFormatting>
  <conditionalFormatting sqref="V71">
    <cfRule type="expression" dxfId="1311" priority="4915" stopIfTrue="1">
      <formula>V$20="CYA"</formula>
    </cfRule>
  </conditionalFormatting>
  <conditionalFormatting sqref="Q72">
    <cfRule type="expression" dxfId="1310" priority="4914" stopIfTrue="1">
      <formula>Q$20="CYA"</formula>
    </cfRule>
  </conditionalFormatting>
  <conditionalFormatting sqref="R72">
    <cfRule type="expression" dxfId="1309" priority="4913" stopIfTrue="1">
      <formula>R$20="CYA"</formula>
    </cfRule>
  </conditionalFormatting>
  <conditionalFormatting sqref="S72">
    <cfRule type="expression" dxfId="1308" priority="4912" stopIfTrue="1">
      <formula>S$20="CYA"</formula>
    </cfRule>
  </conditionalFormatting>
  <conditionalFormatting sqref="T72">
    <cfRule type="expression" dxfId="1307" priority="4911" stopIfTrue="1">
      <formula>T$20="CYA"</formula>
    </cfRule>
  </conditionalFormatting>
  <conditionalFormatting sqref="U72">
    <cfRule type="expression" dxfId="1306" priority="4910" stopIfTrue="1">
      <formula>U$20="CYA"</formula>
    </cfRule>
  </conditionalFormatting>
  <conditionalFormatting sqref="V72">
    <cfRule type="expression" dxfId="1305" priority="4909" stopIfTrue="1">
      <formula>V$20="CYA"</formula>
    </cfRule>
  </conditionalFormatting>
  <conditionalFormatting sqref="Q78">
    <cfRule type="expression" dxfId="1304" priority="4878" stopIfTrue="1">
      <formula>Q$20="CYA"</formula>
    </cfRule>
  </conditionalFormatting>
  <conditionalFormatting sqref="R78">
    <cfRule type="expression" dxfId="1303" priority="4877" stopIfTrue="1">
      <formula>R$20="CYA"</formula>
    </cfRule>
  </conditionalFormatting>
  <conditionalFormatting sqref="S78">
    <cfRule type="expression" dxfId="1302" priority="4876" stopIfTrue="1">
      <formula>S$20="CYA"</formula>
    </cfRule>
  </conditionalFormatting>
  <conditionalFormatting sqref="T78">
    <cfRule type="expression" dxfId="1301" priority="4875" stopIfTrue="1">
      <formula>T$20="CYA"</formula>
    </cfRule>
  </conditionalFormatting>
  <conditionalFormatting sqref="U78">
    <cfRule type="expression" dxfId="1300" priority="4874" stopIfTrue="1">
      <formula>U$20="CYA"</formula>
    </cfRule>
  </conditionalFormatting>
  <conditionalFormatting sqref="V78">
    <cfRule type="expression" dxfId="1299" priority="4873" stopIfTrue="1">
      <formula>V$20="CYA"</formula>
    </cfRule>
  </conditionalFormatting>
  <conditionalFormatting sqref="Q79">
    <cfRule type="expression" dxfId="1298" priority="4872" stopIfTrue="1">
      <formula>Q$20="CYA"</formula>
    </cfRule>
  </conditionalFormatting>
  <conditionalFormatting sqref="R79">
    <cfRule type="expression" dxfId="1297" priority="4871" stopIfTrue="1">
      <formula>R$20="CYA"</formula>
    </cfRule>
  </conditionalFormatting>
  <conditionalFormatting sqref="S79">
    <cfRule type="expression" dxfId="1296" priority="4870" stopIfTrue="1">
      <formula>S$20="CYA"</formula>
    </cfRule>
  </conditionalFormatting>
  <conditionalFormatting sqref="T79">
    <cfRule type="expression" dxfId="1295" priority="4869" stopIfTrue="1">
      <formula>T$20="CYA"</formula>
    </cfRule>
  </conditionalFormatting>
  <conditionalFormatting sqref="U79">
    <cfRule type="expression" dxfId="1294" priority="4868" stopIfTrue="1">
      <formula>U$20="CYA"</formula>
    </cfRule>
  </conditionalFormatting>
  <conditionalFormatting sqref="V79">
    <cfRule type="expression" dxfId="1293" priority="4867" stopIfTrue="1">
      <formula>V$20="CYA"</formula>
    </cfRule>
  </conditionalFormatting>
  <conditionalFormatting sqref="Q80">
    <cfRule type="expression" dxfId="1292" priority="4866" stopIfTrue="1">
      <formula>Q$20="CYA"</formula>
    </cfRule>
  </conditionalFormatting>
  <conditionalFormatting sqref="R80">
    <cfRule type="expression" dxfId="1291" priority="4865" stopIfTrue="1">
      <formula>R$20="CYA"</formula>
    </cfRule>
  </conditionalFormatting>
  <conditionalFormatting sqref="S80">
    <cfRule type="expression" dxfId="1290" priority="4864" stopIfTrue="1">
      <formula>S$20="CYA"</formula>
    </cfRule>
  </conditionalFormatting>
  <conditionalFormatting sqref="T80">
    <cfRule type="expression" dxfId="1289" priority="4863" stopIfTrue="1">
      <formula>T$20="CYA"</formula>
    </cfRule>
  </conditionalFormatting>
  <conditionalFormatting sqref="U80">
    <cfRule type="expression" dxfId="1288" priority="4862" stopIfTrue="1">
      <formula>U$20="CYA"</formula>
    </cfRule>
  </conditionalFormatting>
  <conditionalFormatting sqref="V80">
    <cfRule type="expression" dxfId="1287" priority="4861" stopIfTrue="1">
      <formula>V$20="CYA"</formula>
    </cfRule>
  </conditionalFormatting>
  <conditionalFormatting sqref="Q86">
    <cfRule type="expression" dxfId="1286" priority="4854" stopIfTrue="1">
      <formula>Q$20="CYA"</formula>
    </cfRule>
  </conditionalFormatting>
  <conditionalFormatting sqref="R86">
    <cfRule type="expression" dxfId="1285" priority="4853" stopIfTrue="1">
      <formula>R$20="CYA"</formula>
    </cfRule>
  </conditionalFormatting>
  <conditionalFormatting sqref="S86">
    <cfRule type="expression" dxfId="1284" priority="4852" stopIfTrue="1">
      <formula>S$20="CYA"</formula>
    </cfRule>
  </conditionalFormatting>
  <conditionalFormatting sqref="T86">
    <cfRule type="expression" dxfId="1283" priority="4851" stopIfTrue="1">
      <formula>T$20="CYA"</formula>
    </cfRule>
  </conditionalFormatting>
  <conditionalFormatting sqref="U86">
    <cfRule type="expression" dxfId="1282" priority="4850" stopIfTrue="1">
      <formula>U$20="CYA"</formula>
    </cfRule>
  </conditionalFormatting>
  <conditionalFormatting sqref="V86">
    <cfRule type="expression" dxfId="1281" priority="4849" stopIfTrue="1">
      <formula>V$20="CYA"</formula>
    </cfRule>
  </conditionalFormatting>
  <conditionalFormatting sqref="Q87">
    <cfRule type="expression" dxfId="1280" priority="4848" stopIfTrue="1">
      <formula>Q$20="CYA"</formula>
    </cfRule>
  </conditionalFormatting>
  <conditionalFormatting sqref="R87">
    <cfRule type="expression" dxfId="1279" priority="4847" stopIfTrue="1">
      <formula>R$20="CYA"</formula>
    </cfRule>
  </conditionalFormatting>
  <conditionalFormatting sqref="S87">
    <cfRule type="expression" dxfId="1278" priority="4846" stopIfTrue="1">
      <formula>S$20="CYA"</formula>
    </cfRule>
  </conditionalFormatting>
  <conditionalFormatting sqref="T87">
    <cfRule type="expression" dxfId="1277" priority="4845" stopIfTrue="1">
      <formula>T$20="CYA"</formula>
    </cfRule>
  </conditionalFormatting>
  <conditionalFormatting sqref="U87">
    <cfRule type="expression" dxfId="1276" priority="4844" stopIfTrue="1">
      <formula>U$20="CYA"</formula>
    </cfRule>
  </conditionalFormatting>
  <conditionalFormatting sqref="V87">
    <cfRule type="expression" dxfId="1275" priority="4843" stopIfTrue="1">
      <formula>V$20="CYA"</formula>
    </cfRule>
  </conditionalFormatting>
  <conditionalFormatting sqref="Q88">
    <cfRule type="expression" dxfId="1274" priority="4842" stopIfTrue="1">
      <formula>Q$20="CYA"</formula>
    </cfRule>
  </conditionalFormatting>
  <conditionalFormatting sqref="R88">
    <cfRule type="expression" dxfId="1273" priority="4841" stopIfTrue="1">
      <formula>R$20="CYA"</formula>
    </cfRule>
  </conditionalFormatting>
  <conditionalFormatting sqref="S88">
    <cfRule type="expression" dxfId="1272" priority="4840" stopIfTrue="1">
      <formula>S$20="CYA"</formula>
    </cfRule>
  </conditionalFormatting>
  <conditionalFormatting sqref="T88">
    <cfRule type="expression" dxfId="1271" priority="4839" stopIfTrue="1">
      <formula>T$20="CYA"</formula>
    </cfRule>
  </conditionalFormatting>
  <conditionalFormatting sqref="U88">
    <cfRule type="expression" dxfId="1270" priority="4838" stopIfTrue="1">
      <formula>U$20="CYA"</formula>
    </cfRule>
  </conditionalFormatting>
  <conditionalFormatting sqref="V88">
    <cfRule type="expression" dxfId="1269" priority="4837" stopIfTrue="1">
      <formula>V$20="CYA"</formula>
    </cfRule>
  </conditionalFormatting>
  <conditionalFormatting sqref="Q119">
    <cfRule type="expression" dxfId="1268" priority="4830" stopIfTrue="1">
      <formula>Q$20="CYA"</formula>
    </cfRule>
  </conditionalFormatting>
  <conditionalFormatting sqref="R119">
    <cfRule type="expression" dxfId="1267" priority="4829" stopIfTrue="1">
      <formula>R$20="CYA"</formula>
    </cfRule>
  </conditionalFormatting>
  <conditionalFormatting sqref="S119">
    <cfRule type="expression" dxfId="1266" priority="4828" stopIfTrue="1">
      <formula>S$20="CYA"</formula>
    </cfRule>
  </conditionalFormatting>
  <conditionalFormatting sqref="T119">
    <cfRule type="expression" dxfId="1265" priority="4827" stopIfTrue="1">
      <formula>T$20="CYA"</formula>
    </cfRule>
  </conditionalFormatting>
  <conditionalFormatting sqref="U119">
    <cfRule type="expression" dxfId="1264" priority="4826" stopIfTrue="1">
      <formula>U$20="CYA"</formula>
    </cfRule>
  </conditionalFormatting>
  <conditionalFormatting sqref="V119">
    <cfRule type="expression" dxfId="1263" priority="4825" stopIfTrue="1">
      <formula>V$20="CYA"</formula>
    </cfRule>
  </conditionalFormatting>
  <conditionalFormatting sqref="Q120">
    <cfRule type="expression" dxfId="1262" priority="4824" stopIfTrue="1">
      <formula>Q$20="CYA"</formula>
    </cfRule>
  </conditionalFormatting>
  <conditionalFormatting sqref="R120">
    <cfRule type="expression" dxfId="1261" priority="4823" stopIfTrue="1">
      <formula>R$20="CYA"</formula>
    </cfRule>
  </conditionalFormatting>
  <conditionalFormatting sqref="S120">
    <cfRule type="expression" dxfId="1260" priority="4822" stopIfTrue="1">
      <formula>S$20="CYA"</formula>
    </cfRule>
  </conditionalFormatting>
  <conditionalFormatting sqref="T120">
    <cfRule type="expression" dxfId="1259" priority="4821" stopIfTrue="1">
      <formula>T$20="CYA"</formula>
    </cfRule>
  </conditionalFormatting>
  <conditionalFormatting sqref="U120">
    <cfRule type="expression" dxfId="1258" priority="4820" stopIfTrue="1">
      <formula>U$20="CYA"</formula>
    </cfRule>
  </conditionalFormatting>
  <conditionalFormatting sqref="V120">
    <cfRule type="expression" dxfId="1257" priority="4819" stopIfTrue="1">
      <formula>V$20="CYA"</formula>
    </cfRule>
  </conditionalFormatting>
  <conditionalFormatting sqref="Q148">
    <cfRule type="expression" dxfId="1256" priority="4818" stopIfTrue="1">
      <formula>Q$20="CYA"</formula>
    </cfRule>
  </conditionalFormatting>
  <conditionalFormatting sqref="R148">
    <cfRule type="expression" dxfId="1255" priority="4817" stopIfTrue="1">
      <formula>R$20="CYA"</formula>
    </cfRule>
  </conditionalFormatting>
  <conditionalFormatting sqref="S148">
    <cfRule type="expression" dxfId="1254" priority="4816" stopIfTrue="1">
      <formula>S$20="CYA"</formula>
    </cfRule>
  </conditionalFormatting>
  <conditionalFormatting sqref="T148">
    <cfRule type="expression" dxfId="1253" priority="4815" stopIfTrue="1">
      <formula>T$20="CYA"</formula>
    </cfRule>
  </conditionalFormatting>
  <conditionalFormatting sqref="U148">
    <cfRule type="expression" dxfId="1252" priority="4814" stopIfTrue="1">
      <formula>U$20="CYA"</formula>
    </cfRule>
  </conditionalFormatting>
  <conditionalFormatting sqref="V148">
    <cfRule type="expression" dxfId="1251" priority="4813" stopIfTrue="1">
      <formula>V$20="CYA"</formula>
    </cfRule>
  </conditionalFormatting>
  <conditionalFormatting sqref="Q154">
    <cfRule type="expression" dxfId="1250" priority="4812" stopIfTrue="1">
      <formula>Q$20="CYA"</formula>
    </cfRule>
  </conditionalFormatting>
  <conditionalFormatting sqref="R154">
    <cfRule type="expression" dxfId="1249" priority="4811" stopIfTrue="1">
      <formula>R$20="CYA"</formula>
    </cfRule>
  </conditionalFormatting>
  <conditionalFormatting sqref="S154">
    <cfRule type="expression" dxfId="1248" priority="4810" stopIfTrue="1">
      <formula>S$20="CYA"</formula>
    </cfRule>
  </conditionalFormatting>
  <conditionalFormatting sqref="T154">
    <cfRule type="expression" dxfId="1247" priority="4809" stopIfTrue="1">
      <formula>T$20="CYA"</formula>
    </cfRule>
  </conditionalFormatting>
  <conditionalFormatting sqref="U154">
    <cfRule type="expression" dxfId="1246" priority="4808" stopIfTrue="1">
      <formula>U$20="CYA"</formula>
    </cfRule>
  </conditionalFormatting>
  <conditionalFormatting sqref="V154">
    <cfRule type="expression" dxfId="1245" priority="4807" stopIfTrue="1">
      <formula>V$20="CYA"</formula>
    </cfRule>
  </conditionalFormatting>
  <conditionalFormatting sqref="Q161">
    <cfRule type="expression" dxfId="1244" priority="4806" stopIfTrue="1">
      <formula>Q$20="CYA"</formula>
    </cfRule>
  </conditionalFormatting>
  <conditionalFormatting sqref="R161">
    <cfRule type="expression" dxfId="1243" priority="4805" stopIfTrue="1">
      <formula>R$20="CYA"</formula>
    </cfRule>
  </conditionalFormatting>
  <conditionalFormatting sqref="S161">
    <cfRule type="expression" dxfId="1242" priority="4804" stopIfTrue="1">
      <formula>S$20="CYA"</formula>
    </cfRule>
  </conditionalFormatting>
  <conditionalFormatting sqref="T161">
    <cfRule type="expression" dxfId="1241" priority="4803" stopIfTrue="1">
      <formula>T$20="CYA"</formula>
    </cfRule>
  </conditionalFormatting>
  <conditionalFormatting sqref="U161">
    <cfRule type="expression" dxfId="1240" priority="4802" stopIfTrue="1">
      <formula>U$20="CYA"</formula>
    </cfRule>
  </conditionalFormatting>
  <conditionalFormatting sqref="V161">
    <cfRule type="expression" dxfId="1239" priority="4801" stopIfTrue="1">
      <formula>V$20="CYA"</formula>
    </cfRule>
  </conditionalFormatting>
  <conditionalFormatting sqref="Q166">
    <cfRule type="expression" dxfId="1238" priority="4800" stopIfTrue="1">
      <formula>Q$20="CYA"</formula>
    </cfRule>
  </conditionalFormatting>
  <conditionalFormatting sqref="R166">
    <cfRule type="expression" dxfId="1237" priority="4799" stopIfTrue="1">
      <formula>R$20="CYA"</formula>
    </cfRule>
  </conditionalFormatting>
  <conditionalFormatting sqref="S166">
    <cfRule type="expression" dxfId="1236" priority="4798" stopIfTrue="1">
      <formula>S$20="CYA"</formula>
    </cfRule>
  </conditionalFormatting>
  <conditionalFormatting sqref="T166">
    <cfRule type="expression" dxfId="1235" priority="4797" stopIfTrue="1">
      <formula>T$20="CYA"</formula>
    </cfRule>
  </conditionalFormatting>
  <conditionalFormatting sqref="U166">
    <cfRule type="expression" dxfId="1234" priority="4796" stopIfTrue="1">
      <formula>U$20="CYA"</formula>
    </cfRule>
  </conditionalFormatting>
  <conditionalFormatting sqref="V166">
    <cfRule type="expression" dxfId="1233" priority="4795" stopIfTrue="1">
      <formula>V$20="CYA"</formula>
    </cfRule>
  </conditionalFormatting>
  <conditionalFormatting sqref="Q171">
    <cfRule type="expression" dxfId="1232" priority="4794" stopIfTrue="1">
      <formula>Q$20="CYA"</formula>
    </cfRule>
  </conditionalFormatting>
  <conditionalFormatting sqref="R171">
    <cfRule type="expression" dxfId="1231" priority="4793" stopIfTrue="1">
      <formula>R$20="CYA"</formula>
    </cfRule>
  </conditionalFormatting>
  <conditionalFormatting sqref="S171">
    <cfRule type="expression" dxfId="1230" priority="4792" stopIfTrue="1">
      <formula>S$20="CYA"</formula>
    </cfRule>
  </conditionalFormatting>
  <conditionalFormatting sqref="T171">
    <cfRule type="expression" dxfId="1229" priority="4791" stopIfTrue="1">
      <formula>T$20="CYA"</formula>
    </cfRule>
  </conditionalFormatting>
  <conditionalFormatting sqref="U171">
    <cfRule type="expression" dxfId="1228" priority="4790" stopIfTrue="1">
      <formula>U$20="CYA"</formula>
    </cfRule>
  </conditionalFormatting>
  <conditionalFormatting sqref="V171">
    <cfRule type="expression" dxfId="1227" priority="4789" stopIfTrue="1">
      <formula>V$20="CYA"</formula>
    </cfRule>
  </conditionalFormatting>
  <conditionalFormatting sqref="Q177">
    <cfRule type="expression" dxfId="1226" priority="4788" stopIfTrue="1">
      <formula>Q$20="CYA"</formula>
    </cfRule>
  </conditionalFormatting>
  <conditionalFormatting sqref="R177">
    <cfRule type="expression" dxfId="1225" priority="4787" stopIfTrue="1">
      <formula>R$20="CYA"</formula>
    </cfRule>
  </conditionalFormatting>
  <conditionalFormatting sqref="S177">
    <cfRule type="expression" dxfId="1224" priority="4786" stopIfTrue="1">
      <formula>S$20="CYA"</formula>
    </cfRule>
  </conditionalFormatting>
  <conditionalFormatting sqref="T177">
    <cfRule type="expression" dxfId="1223" priority="4785" stopIfTrue="1">
      <formula>T$20="CYA"</formula>
    </cfRule>
  </conditionalFormatting>
  <conditionalFormatting sqref="U177">
    <cfRule type="expression" dxfId="1222" priority="4784" stopIfTrue="1">
      <formula>U$20="CYA"</formula>
    </cfRule>
  </conditionalFormatting>
  <conditionalFormatting sqref="V177">
    <cfRule type="expression" dxfId="1221" priority="4783" stopIfTrue="1">
      <formula>V$20="CYA"</formula>
    </cfRule>
  </conditionalFormatting>
  <conditionalFormatting sqref="Q183">
    <cfRule type="expression" dxfId="1220" priority="4782" stopIfTrue="1">
      <formula>Q$20="CYA"</formula>
    </cfRule>
  </conditionalFormatting>
  <conditionalFormatting sqref="R183">
    <cfRule type="expression" dxfId="1219" priority="4781" stopIfTrue="1">
      <formula>R$20="CYA"</formula>
    </cfRule>
  </conditionalFormatting>
  <conditionalFormatting sqref="S183">
    <cfRule type="expression" dxfId="1218" priority="4780" stopIfTrue="1">
      <formula>S$20="CYA"</formula>
    </cfRule>
  </conditionalFormatting>
  <conditionalFormatting sqref="T183">
    <cfRule type="expression" dxfId="1217" priority="4779" stopIfTrue="1">
      <formula>T$20="CYA"</formula>
    </cfRule>
  </conditionalFormatting>
  <conditionalFormatting sqref="U183">
    <cfRule type="expression" dxfId="1216" priority="4778" stopIfTrue="1">
      <formula>U$20="CYA"</formula>
    </cfRule>
  </conditionalFormatting>
  <conditionalFormatting sqref="V183">
    <cfRule type="expression" dxfId="1215" priority="4777" stopIfTrue="1">
      <formula>V$20="CYA"</formula>
    </cfRule>
  </conditionalFormatting>
  <conditionalFormatting sqref="Q189">
    <cfRule type="expression" dxfId="1214" priority="4776" stopIfTrue="1">
      <formula>Q$20="CYA"</formula>
    </cfRule>
  </conditionalFormatting>
  <conditionalFormatting sqref="R189">
    <cfRule type="expression" dxfId="1213" priority="4775" stopIfTrue="1">
      <formula>R$20="CYA"</formula>
    </cfRule>
  </conditionalFormatting>
  <conditionalFormatting sqref="S189">
    <cfRule type="expression" dxfId="1212" priority="4774" stopIfTrue="1">
      <formula>S$20="CYA"</formula>
    </cfRule>
  </conditionalFormatting>
  <conditionalFormatting sqref="T189">
    <cfRule type="expression" dxfId="1211" priority="4773" stopIfTrue="1">
      <formula>T$20="CYA"</formula>
    </cfRule>
  </conditionalFormatting>
  <conditionalFormatting sqref="U189">
    <cfRule type="expression" dxfId="1210" priority="4772" stopIfTrue="1">
      <formula>U$20="CYA"</formula>
    </cfRule>
  </conditionalFormatting>
  <conditionalFormatting sqref="V189">
    <cfRule type="expression" dxfId="1209" priority="4771" stopIfTrue="1">
      <formula>V$20="CYA"</formula>
    </cfRule>
  </conditionalFormatting>
  <conditionalFormatting sqref="Q194">
    <cfRule type="expression" dxfId="1208" priority="4770" stopIfTrue="1">
      <formula>Q$20="CYA"</formula>
    </cfRule>
  </conditionalFormatting>
  <conditionalFormatting sqref="R194">
    <cfRule type="expression" dxfId="1207" priority="4769" stopIfTrue="1">
      <formula>R$20="CYA"</formula>
    </cfRule>
  </conditionalFormatting>
  <conditionalFormatting sqref="S194">
    <cfRule type="expression" dxfId="1206" priority="4768" stopIfTrue="1">
      <formula>S$20="CYA"</formula>
    </cfRule>
  </conditionalFormatting>
  <conditionalFormatting sqref="T194">
    <cfRule type="expression" dxfId="1205" priority="4767" stopIfTrue="1">
      <formula>T$20="CYA"</formula>
    </cfRule>
  </conditionalFormatting>
  <conditionalFormatting sqref="U194">
    <cfRule type="expression" dxfId="1204" priority="4766" stopIfTrue="1">
      <formula>U$20="CYA"</formula>
    </cfRule>
  </conditionalFormatting>
  <conditionalFormatting sqref="V194">
    <cfRule type="expression" dxfId="1203" priority="4765" stopIfTrue="1">
      <formula>V$20="CYA"</formula>
    </cfRule>
  </conditionalFormatting>
  <conditionalFormatting sqref="Q199">
    <cfRule type="expression" dxfId="1202" priority="4764" stopIfTrue="1">
      <formula>Q$20="CYA"</formula>
    </cfRule>
  </conditionalFormatting>
  <conditionalFormatting sqref="R199">
    <cfRule type="expression" dxfId="1201" priority="4763" stopIfTrue="1">
      <formula>R$20="CYA"</formula>
    </cfRule>
  </conditionalFormatting>
  <conditionalFormatting sqref="S199">
    <cfRule type="expression" dxfId="1200" priority="4762" stopIfTrue="1">
      <formula>S$20="CYA"</formula>
    </cfRule>
  </conditionalFormatting>
  <conditionalFormatting sqref="T199">
    <cfRule type="expression" dxfId="1199" priority="4761" stopIfTrue="1">
      <formula>T$20="CYA"</formula>
    </cfRule>
  </conditionalFormatting>
  <conditionalFormatting sqref="U199">
    <cfRule type="expression" dxfId="1198" priority="4760" stopIfTrue="1">
      <formula>U$20="CYA"</formula>
    </cfRule>
  </conditionalFormatting>
  <conditionalFormatting sqref="V199">
    <cfRule type="expression" dxfId="1197" priority="4759" stopIfTrue="1">
      <formula>V$20="CYA"</formula>
    </cfRule>
  </conditionalFormatting>
  <conditionalFormatting sqref="Q204">
    <cfRule type="expression" dxfId="1196" priority="4758" stopIfTrue="1">
      <formula>Q$20="CYA"</formula>
    </cfRule>
  </conditionalFormatting>
  <conditionalFormatting sqref="R204">
    <cfRule type="expression" dxfId="1195" priority="4757" stopIfTrue="1">
      <formula>R$20="CYA"</formula>
    </cfRule>
  </conditionalFormatting>
  <conditionalFormatting sqref="S204">
    <cfRule type="expression" dxfId="1194" priority="4756" stopIfTrue="1">
      <formula>S$20="CYA"</formula>
    </cfRule>
  </conditionalFormatting>
  <conditionalFormatting sqref="T204">
    <cfRule type="expression" dxfId="1193" priority="4755" stopIfTrue="1">
      <formula>T$20="CYA"</formula>
    </cfRule>
  </conditionalFormatting>
  <conditionalFormatting sqref="U204">
    <cfRule type="expression" dxfId="1192" priority="4754" stopIfTrue="1">
      <formula>U$20="CYA"</formula>
    </cfRule>
  </conditionalFormatting>
  <conditionalFormatting sqref="V204">
    <cfRule type="expression" dxfId="1191" priority="4753" stopIfTrue="1">
      <formula>V$20="CYA"</formula>
    </cfRule>
  </conditionalFormatting>
  <conditionalFormatting sqref="Q209">
    <cfRule type="expression" dxfId="1190" priority="4752" stopIfTrue="1">
      <formula>Q$20="CYA"</formula>
    </cfRule>
  </conditionalFormatting>
  <conditionalFormatting sqref="R209">
    <cfRule type="expression" dxfId="1189" priority="4751" stopIfTrue="1">
      <formula>R$20="CYA"</formula>
    </cfRule>
  </conditionalFormatting>
  <conditionalFormatting sqref="S209">
    <cfRule type="expression" dxfId="1188" priority="4750" stopIfTrue="1">
      <formula>S$20="CYA"</formula>
    </cfRule>
  </conditionalFormatting>
  <conditionalFormatting sqref="T209">
    <cfRule type="expression" dxfId="1187" priority="4749" stopIfTrue="1">
      <formula>T$20="CYA"</formula>
    </cfRule>
  </conditionalFormatting>
  <conditionalFormatting sqref="U209">
    <cfRule type="expression" dxfId="1186" priority="4748" stopIfTrue="1">
      <formula>U$20="CYA"</formula>
    </cfRule>
  </conditionalFormatting>
  <conditionalFormatting sqref="V209">
    <cfRule type="expression" dxfId="1185" priority="4747" stopIfTrue="1">
      <formula>V$20="CYA"</formula>
    </cfRule>
  </conditionalFormatting>
  <conditionalFormatting sqref="Q214">
    <cfRule type="expression" dxfId="1184" priority="4746" stopIfTrue="1">
      <formula>Q$20="CYA"</formula>
    </cfRule>
  </conditionalFormatting>
  <conditionalFormatting sqref="R214">
    <cfRule type="expression" dxfId="1183" priority="4745" stopIfTrue="1">
      <formula>R$20="CYA"</formula>
    </cfRule>
  </conditionalFormatting>
  <conditionalFormatting sqref="S214">
    <cfRule type="expression" dxfId="1182" priority="4744" stopIfTrue="1">
      <formula>S$20="CYA"</formula>
    </cfRule>
  </conditionalFormatting>
  <conditionalFormatting sqref="T214">
    <cfRule type="expression" dxfId="1181" priority="4743" stopIfTrue="1">
      <formula>T$20="CYA"</formula>
    </cfRule>
  </conditionalFormatting>
  <conditionalFormatting sqref="U214">
    <cfRule type="expression" dxfId="1180" priority="4742" stopIfTrue="1">
      <formula>U$20="CYA"</formula>
    </cfRule>
  </conditionalFormatting>
  <conditionalFormatting sqref="V214">
    <cfRule type="expression" dxfId="1179" priority="4741" stopIfTrue="1">
      <formula>V$20="CYA"</formula>
    </cfRule>
  </conditionalFormatting>
  <conditionalFormatting sqref="Q219">
    <cfRule type="expression" dxfId="1178" priority="4740" stopIfTrue="1">
      <formula>Q$20="CYA"</formula>
    </cfRule>
  </conditionalFormatting>
  <conditionalFormatting sqref="R219">
    <cfRule type="expression" dxfId="1177" priority="4739" stopIfTrue="1">
      <formula>R$20="CYA"</formula>
    </cfRule>
  </conditionalFormatting>
  <conditionalFormatting sqref="S219">
    <cfRule type="expression" dxfId="1176" priority="4738" stopIfTrue="1">
      <formula>S$20="CYA"</formula>
    </cfRule>
  </conditionalFormatting>
  <conditionalFormatting sqref="T219">
    <cfRule type="expression" dxfId="1175" priority="4737" stopIfTrue="1">
      <formula>T$20="CYA"</formula>
    </cfRule>
  </conditionalFormatting>
  <conditionalFormatting sqref="U219">
    <cfRule type="expression" dxfId="1174" priority="4736" stopIfTrue="1">
      <formula>U$20="CYA"</formula>
    </cfRule>
  </conditionalFormatting>
  <conditionalFormatting sqref="V219">
    <cfRule type="expression" dxfId="1173" priority="4735" stopIfTrue="1">
      <formula>V$20="CYA"</formula>
    </cfRule>
  </conditionalFormatting>
  <conditionalFormatting sqref="Q224">
    <cfRule type="expression" dxfId="1172" priority="4734" stopIfTrue="1">
      <formula>Q$20="CYA"</formula>
    </cfRule>
  </conditionalFormatting>
  <conditionalFormatting sqref="R224">
    <cfRule type="expression" dxfId="1171" priority="4733" stopIfTrue="1">
      <formula>R$20="CYA"</formula>
    </cfRule>
  </conditionalFormatting>
  <conditionalFormatting sqref="S224">
    <cfRule type="expression" dxfId="1170" priority="4732" stopIfTrue="1">
      <formula>S$20="CYA"</formula>
    </cfRule>
  </conditionalFormatting>
  <conditionalFormatting sqref="T224">
    <cfRule type="expression" dxfId="1169" priority="4731" stopIfTrue="1">
      <formula>T$20="CYA"</formula>
    </cfRule>
  </conditionalFormatting>
  <conditionalFormatting sqref="U224">
    <cfRule type="expression" dxfId="1168" priority="4730" stopIfTrue="1">
      <formula>U$20="CYA"</formula>
    </cfRule>
  </conditionalFormatting>
  <conditionalFormatting sqref="V224">
    <cfRule type="expression" dxfId="1167" priority="4729" stopIfTrue="1">
      <formula>V$20="CYA"</formula>
    </cfRule>
  </conditionalFormatting>
  <conditionalFormatting sqref="V247">
    <cfRule type="expression" dxfId="1166" priority="4693" stopIfTrue="1">
      <formula>V$20="CYA"</formula>
    </cfRule>
  </conditionalFormatting>
  <conditionalFormatting sqref="Q252">
    <cfRule type="expression" dxfId="1165" priority="4692" stopIfTrue="1">
      <formula>Q$20="CYA"</formula>
    </cfRule>
  </conditionalFormatting>
  <conditionalFormatting sqref="R252">
    <cfRule type="expression" dxfId="1164" priority="4691" stopIfTrue="1">
      <formula>R$20="CYA"</formula>
    </cfRule>
  </conditionalFormatting>
  <conditionalFormatting sqref="S252">
    <cfRule type="expression" dxfId="1163" priority="4690" stopIfTrue="1">
      <formula>S$20="CYA"</formula>
    </cfRule>
  </conditionalFormatting>
  <conditionalFormatting sqref="T252">
    <cfRule type="expression" dxfId="1162" priority="4689" stopIfTrue="1">
      <formula>T$20="CYA"</formula>
    </cfRule>
  </conditionalFormatting>
  <conditionalFormatting sqref="U252">
    <cfRule type="expression" dxfId="1161" priority="4688" stopIfTrue="1">
      <formula>U$20="CYA"</formula>
    </cfRule>
  </conditionalFormatting>
  <conditionalFormatting sqref="Q235">
    <cfRule type="expression" dxfId="1160" priority="4722" stopIfTrue="1">
      <formula>Q$20="CYA"</formula>
    </cfRule>
  </conditionalFormatting>
  <conditionalFormatting sqref="R235">
    <cfRule type="expression" dxfId="1159" priority="4721" stopIfTrue="1">
      <formula>R$20="CYA"</formula>
    </cfRule>
  </conditionalFormatting>
  <conditionalFormatting sqref="S235">
    <cfRule type="expression" dxfId="1158" priority="4720" stopIfTrue="1">
      <formula>S$20="CYA"</formula>
    </cfRule>
  </conditionalFormatting>
  <conditionalFormatting sqref="T235">
    <cfRule type="expression" dxfId="1157" priority="4719" stopIfTrue="1">
      <formula>T$20="CYA"</formula>
    </cfRule>
  </conditionalFormatting>
  <conditionalFormatting sqref="U235">
    <cfRule type="expression" dxfId="1156" priority="4718" stopIfTrue="1">
      <formula>U$20="CYA"</formula>
    </cfRule>
  </conditionalFormatting>
  <conditionalFormatting sqref="V235">
    <cfRule type="expression" dxfId="1155" priority="4717" stopIfTrue="1">
      <formula>V$20="CYA"</formula>
    </cfRule>
  </conditionalFormatting>
  <conditionalFormatting sqref="Q236">
    <cfRule type="expression" dxfId="1154" priority="4716" stopIfTrue="1">
      <formula>Q$20="CYA"</formula>
    </cfRule>
  </conditionalFormatting>
  <conditionalFormatting sqref="R236">
    <cfRule type="expression" dxfId="1153" priority="4715" stopIfTrue="1">
      <formula>R$20="CYA"</formula>
    </cfRule>
  </conditionalFormatting>
  <conditionalFormatting sqref="S236">
    <cfRule type="expression" dxfId="1152" priority="4714" stopIfTrue="1">
      <formula>S$20="CYA"</formula>
    </cfRule>
  </conditionalFormatting>
  <conditionalFormatting sqref="T236">
    <cfRule type="expression" dxfId="1151" priority="4713" stopIfTrue="1">
      <formula>T$20="CYA"</formula>
    </cfRule>
  </conditionalFormatting>
  <conditionalFormatting sqref="U236">
    <cfRule type="expression" dxfId="1150" priority="4712" stopIfTrue="1">
      <formula>U$20="CYA"</formula>
    </cfRule>
  </conditionalFormatting>
  <conditionalFormatting sqref="V236">
    <cfRule type="expression" dxfId="1149" priority="4711" stopIfTrue="1">
      <formula>V$20="CYA"</formula>
    </cfRule>
  </conditionalFormatting>
  <conditionalFormatting sqref="Q237">
    <cfRule type="expression" dxfId="1148" priority="4710" stopIfTrue="1">
      <formula>Q$20="CYA"</formula>
    </cfRule>
  </conditionalFormatting>
  <conditionalFormatting sqref="R237">
    <cfRule type="expression" dxfId="1147" priority="4709" stopIfTrue="1">
      <formula>R$20="CYA"</formula>
    </cfRule>
  </conditionalFormatting>
  <conditionalFormatting sqref="S237">
    <cfRule type="expression" dxfId="1146" priority="4708" stopIfTrue="1">
      <formula>S$20="CYA"</formula>
    </cfRule>
  </conditionalFormatting>
  <conditionalFormatting sqref="T237">
    <cfRule type="expression" dxfId="1145" priority="4707" stopIfTrue="1">
      <formula>T$20="CYA"</formula>
    </cfRule>
  </conditionalFormatting>
  <conditionalFormatting sqref="U237">
    <cfRule type="expression" dxfId="1144" priority="4706" stopIfTrue="1">
      <formula>U$20="CYA"</formula>
    </cfRule>
  </conditionalFormatting>
  <conditionalFormatting sqref="V237">
    <cfRule type="expression" dxfId="1143" priority="4705" stopIfTrue="1">
      <formula>V$20="CYA"</formula>
    </cfRule>
  </conditionalFormatting>
  <conditionalFormatting sqref="Q242">
    <cfRule type="expression" dxfId="1142" priority="4704" stopIfTrue="1">
      <formula>Q$20="CYA"</formula>
    </cfRule>
  </conditionalFormatting>
  <conditionalFormatting sqref="R242">
    <cfRule type="expression" dxfId="1141" priority="4703" stopIfTrue="1">
      <formula>R$20="CYA"</formula>
    </cfRule>
  </conditionalFormatting>
  <conditionalFormatting sqref="S242">
    <cfRule type="expression" dxfId="1140" priority="4702" stopIfTrue="1">
      <formula>S$20="CYA"</formula>
    </cfRule>
  </conditionalFormatting>
  <conditionalFormatting sqref="T242">
    <cfRule type="expression" dxfId="1139" priority="4701" stopIfTrue="1">
      <formula>T$20="CYA"</formula>
    </cfRule>
  </conditionalFormatting>
  <conditionalFormatting sqref="U242">
    <cfRule type="expression" dxfId="1138" priority="4700" stopIfTrue="1">
      <formula>U$20="CYA"</formula>
    </cfRule>
  </conditionalFormatting>
  <conditionalFormatting sqref="V242">
    <cfRule type="expression" dxfId="1137" priority="4699" stopIfTrue="1">
      <formula>V$20="CYA"</formula>
    </cfRule>
  </conditionalFormatting>
  <conditionalFormatting sqref="Q247">
    <cfRule type="expression" dxfId="1136" priority="4698" stopIfTrue="1">
      <formula>Q$20="CYA"</formula>
    </cfRule>
  </conditionalFormatting>
  <conditionalFormatting sqref="R247">
    <cfRule type="expression" dxfId="1135" priority="4697" stopIfTrue="1">
      <formula>R$20="CYA"</formula>
    </cfRule>
  </conditionalFormatting>
  <conditionalFormatting sqref="S247">
    <cfRule type="expression" dxfId="1134" priority="4696" stopIfTrue="1">
      <formula>S$20="CYA"</formula>
    </cfRule>
  </conditionalFormatting>
  <conditionalFormatting sqref="T247">
    <cfRule type="expression" dxfId="1133" priority="4695" stopIfTrue="1">
      <formula>T$20="CYA"</formula>
    </cfRule>
  </conditionalFormatting>
  <conditionalFormatting sqref="U247">
    <cfRule type="expression" dxfId="1132" priority="4694" stopIfTrue="1">
      <formula>U$20="CYA"</formula>
    </cfRule>
  </conditionalFormatting>
  <conditionalFormatting sqref="T262">
    <cfRule type="expression" dxfId="1131" priority="4677" stopIfTrue="1">
      <formula>T$20="CYA"</formula>
    </cfRule>
  </conditionalFormatting>
  <conditionalFormatting sqref="U262">
    <cfRule type="expression" dxfId="1130" priority="4676" stopIfTrue="1">
      <formula>U$20="CYA"</formula>
    </cfRule>
  </conditionalFormatting>
  <conditionalFormatting sqref="V262">
    <cfRule type="expression" dxfId="1129" priority="4675" stopIfTrue="1">
      <formula>V$20="CYA"</formula>
    </cfRule>
  </conditionalFormatting>
  <conditionalFormatting sqref="Q264">
    <cfRule type="expression" dxfId="1128" priority="4674" stopIfTrue="1">
      <formula>Q$20="CYA"</formula>
    </cfRule>
  </conditionalFormatting>
  <conditionalFormatting sqref="R264">
    <cfRule type="expression" dxfId="1127" priority="4673" stopIfTrue="1">
      <formula>R$20="CYA"</formula>
    </cfRule>
  </conditionalFormatting>
  <conditionalFormatting sqref="S264">
    <cfRule type="expression" dxfId="1126" priority="4672" stopIfTrue="1">
      <formula>S$20="CYA"</formula>
    </cfRule>
  </conditionalFormatting>
  <conditionalFormatting sqref="V252">
    <cfRule type="expression" dxfId="1125" priority="4687" stopIfTrue="1">
      <formula>V$20="CYA"</formula>
    </cfRule>
  </conditionalFormatting>
  <conditionalFormatting sqref="Q257">
    <cfRule type="expression" dxfId="1124" priority="4686" stopIfTrue="1">
      <formula>Q$20="CYA"</formula>
    </cfRule>
  </conditionalFormatting>
  <conditionalFormatting sqref="R257">
    <cfRule type="expression" dxfId="1123" priority="4685" stopIfTrue="1">
      <formula>R$20="CYA"</formula>
    </cfRule>
  </conditionalFormatting>
  <conditionalFormatting sqref="S257">
    <cfRule type="expression" dxfId="1122" priority="4684" stopIfTrue="1">
      <formula>S$20="CYA"</formula>
    </cfRule>
  </conditionalFormatting>
  <conditionalFormatting sqref="T257">
    <cfRule type="expression" dxfId="1121" priority="4683" stopIfTrue="1">
      <formula>T$20="CYA"</formula>
    </cfRule>
  </conditionalFormatting>
  <conditionalFormatting sqref="U257">
    <cfRule type="expression" dxfId="1120" priority="4682" stopIfTrue="1">
      <formula>U$20="CYA"</formula>
    </cfRule>
  </conditionalFormatting>
  <conditionalFormatting sqref="V257">
    <cfRule type="expression" dxfId="1119" priority="4681" stopIfTrue="1">
      <formula>V$20="CYA"</formula>
    </cfRule>
  </conditionalFormatting>
  <conditionalFormatting sqref="Q262">
    <cfRule type="expression" dxfId="1118" priority="4680" stopIfTrue="1">
      <formula>Q$20="CYA"</formula>
    </cfRule>
  </conditionalFormatting>
  <conditionalFormatting sqref="R262">
    <cfRule type="expression" dxfId="1117" priority="4679" stopIfTrue="1">
      <formula>R$20="CYA"</formula>
    </cfRule>
  </conditionalFormatting>
  <conditionalFormatting sqref="S262">
    <cfRule type="expression" dxfId="1116" priority="4678" stopIfTrue="1">
      <formula>S$20="CYA"</formula>
    </cfRule>
  </conditionalFormatting>
  <conditionalFormatting sqref="X39">
    <cfRule type="expression" dxfId="1115" priority="4667" stopIfTrue="1">
      <formula>X$20="CYA"</formula>
    </cfRule>
  </conditionalFormatting>
  <conditionalFormatting sqref="Y39">
    <cfRule type="expression" dxfId="1114" priority="4666" stopIfTrue="1">
      <formula>Y$20="CYA"</formula>
    </cfRule>
  </conditionalFormatting>
  <conditionalFormatting sqref="Z39">
    <cfRule type="expression" dxfId="1113" priority="4665" stopIfTrue="1">
      <formula>Z$20="CYA"</formula>
    </cfRule>
  </conditionalFormatting>
  <conditionalFormatting sqref="AA39">
    <cfRule type="expression" dxfId="1112" priority="4664" stopIfTrue="1">
      <formula>AA$20="CYA"</formula>
    </cfRule>
  </conditionalFormatting>
  <conditionalFormatting sqref="AB39">
    <cfRule type="expression" dxfId="1111" priority="4663" stopIfTrue="1">
      <formula>AB$20="CYA"</formula>
    </cfRule>
  </conditionalFormatting>
  <conditionalFormatting sqref="AC39">
    <cfRule type="expression" dxfId="1110" priority="4662" stopIfTrue="1">
      <formula>AC$20="CYA"</formula>
    </cfRule>
  </conditionalFormatting>
  <conditionalFormatting sqref="T264">
    <cfRule type="expression" dxfId="1109" priority="4671" stopIfTrue="1">
      <formula>T$20="CYA"</formula>
    </cfRule>
  </conditionalFormatting>
  <conditionalFormatting sqref="U264">
    <cfRule type="expression" dxfId="1108" priority="4670" stopIfTrue="1">
      <formula>U$20="CYA"</formula>
    </cfRule>
  </conditionalFormatting>
  <conditionalFormatting sqref="V264">
    <cfRule type="expression" dxfId="1107" priority="4669" stopIfTrue="1">
      <formula>V$20="CYA"</formula>
    </cfRule>
  </conditionalFormatting>
  <conditionalFormatting sqref="W39">
    <cfRule type="expression" dxfId="1106" priority="4668" stopIfTrue="1">
      <formula>W$20="CYA"</formula>
    </cfRule>
  </conditionalFormatting>
  <conditionalFormatting sqref="AH39">
    <cfRule type="expression" dxfId="1105" priority="4657" stopIfTrue="1">
      <formula>AH$20="CYA"</formula>
    </cfRule>
  </conditionalFormatting>
  <conditionalFormatting sqref="AI39">
    <cfRule type="expression" dxfId="1104" priority="4656" stopIfTrue="1">
      <formula>AI$20="CYA"</formula>
    </cfRule>
  </conditionalFormatting>
  <conditionalFormatting sqref="AJ39">
    <cfRule type="expression" dxfId="1103" priority="4655" stopIfTrue="1">
      <formula>AJ$20="CYA"</formula>
    </cfRule>
  </conditionalFormatting>
  <conditionalFormatting sqref="AK39">
    <cfRule type="expression" dxfId="1102" priority="4654" stopIfTrue="1">
      <formula>AK$20="CYA"</formula>
    </cfRule>
  </conditionalFormatting>
  <conditionalFormatting sqref="AL39">
    <cfRule type="expression" dxfId="1101" priority="4653" stopIfTrue="1">
      <formula>AL$20="CYA"</formula>
    </cfRule>
  </conditionalFormatting>
  <conditionalFormatting sqref="AM39">
    <cfRule type="expression" dxfId="1100" priority="4652" stopIfTrue="1">
      <formula>AM$20="CYA"</formula>
    </cfRule>
  </conditionalFormatting>
  <conditionalFormatting sqref="AD39">
    <cfRule type="expression" dxfId="1099" priority="4661" stopIfTrue="1">
      <formula>AD$20="CYA"</formula>
    </cfRule>
  </conditionalFormatting>
  <conditionalFormatting sqref="AE39">
    <cfRule type="expression" dxfId="1098" priority="4660" stopIfTrue="1">
      <formula>AE$20="CYA"</formula>
    </cfRule>
  </conditionalFormatting>
  <conditionalFormatting sqref="AF39">
    <cfRule type="expression" dxfId="1097" priority="4659" stopIfTrue="1">
      <formula>AF$20="CYA"</formula>
    </cfRule>
  </conditionalFormatting>
  <conditionalFormatting sqref="AG39">
    <cfRule type="expression" dxfId="1096" priority="4658" stopIfTrue="1">
      <formula>AG$20="CYA"</formula>
    </cfRule>
  </conditionalFormatting>
  <conditionalFormatting sqref="Z40">
    <cfRule type="expression" dxfId="1095" priority="4647" stopIfTrue="1">
      <formula>Z$20="CYA"</formula>
    </cfRule>
  </conditionalFormatting>
  <conditionalFormatting sqref="AA40">
    <cfRule type="expression" dxfId="1094" priority="4646" stopIfTrue="1">
      <formula>AA$20="CYA"</formula>
    </cfRule>
  </conditionalFormatting>
  <conditionalFormatting sqref="AB40">
    <cfRule type="expression" dxfId="1093" priority="4645" stopIfTrue="1">
      <formula>AB$20="CYA"</formula>
    </cfRule>
  </conditionalFormatting>
  <conditionalFormatting sqref="AC40">
    <cfRule type="expression" dxfId="1092" priority="4644" stopIfTrue="1">
      <formula>AC$20="CYA"</formula>
    </cfRule>
  </conditionalFormatting>
  <conditionalFormatting sqref="AD40">
    <cfRule type="expression" dxfId="1091" priority="4643" stopIfTrue="1">
      <formula>AD$20="CYA"</formula>
    </cfRule>
  </conditionalFormatting>
  <conditionalFormatting sqref="AE40">
    <cfRule type="expression" dxfId="1090" priority="4642" stopIfTrue="1">
      <formula>AE$20="CYA"</formula>
    </cfRule>
  </conditionalFormatting>
  <conditionalFormatting sqref="AN39">
    <cfRule type="expression" dxfId="1089" priority="4651" stopIfTrue="1">
      <formula>AN$20="CYA"</formula>
    </cfRule>
  </conditionalFormatting>
  <conditionalFormatting sqref="W40">
    <cfRule type="expression" dxfId="1088" priority="4650" stopIfTrue="1">
      <formula>W$20="CYA"</formula>
    </cfRule>
  </conditionalFormatting>
  <conditionalFormatting sqref="X40">
    <cfRule type="expression" dxfId="1087" priority="4649" stopIfTrue="1">
      <formula>X$20="CYA"</formula>
    </cfRule>
  </conditionalFormatting>
  <conditionalFormatting sqref="Y40">
    <cfRule type="expression" dxfId="1086" priority="4648" stopIfTrue="1">
      <formula>Y$20="CYA"</formula>
    </cfRule>
  </conditionalFormatting>
  <conditionalFormatting sqref="Y54">
    <cfRule type="expression" dxfId="1085" priority="4476" stopIfTrue="1">
      <formula>Y$20="CYA"</formula>
    </cfRule>
  </conditionalFormatting>
  <conditionalFormatting sqref="Z54">
    <cfRule type="expression" dxfId="1084" priority="4475" stopIfTrue="1">
      <formula>Z$20="CYA"</formula>
    </cfRule>
  </conditionalFormatting>
  <conditionalFormatting sqref="AA54">
    <cfRule type="expression" dxfId="1083" priority="4474" stopIfTrue="1">
      <formula>AA$20="CYA"</formula>
    </cfRule>
  </conditionalFormatting>
  <conditionalFormatting sqref="AB54">
    <cfRule type="expression" dxfId="1082" priority="4473" stopIfTrue="1">
      <formula>AB$20="CYA"</formula>
    </cfRule>
  </conditionalFormatting>
  <conditionalFormatting sqref="AF40">
    <cfRule type="expression" dxfId="1081" priority="4641" stopIfTrue="1">
      <formula>AF$20="CYA"</formula>
    </cfRule>
  </conditionalFormatting>
  <conditionalFormatting sqref="AG40">
    <cfRule type="expression" dxfId="1080" priority="4640" stopIfTrue="1">
      <formula>AG$20="CYA"</formula>
    </cfRule>
  </conditionalFormatting>
  <conditionalFormatting sqref="AH40">
    <cfRule type="expression" dxfId="1079" priority="4639" stopIfTrue="1">
      <formula>AH$20="CYA"</formula>
    </cfRule>
  </conditionalFormatting>
  <conditionalFormatting sqref="AI40">
    <cfRule type="expression" dxfId="1078" priority="4638" stopIfTrue="1">
      <formula>AI$20="CYA"</formula>
    </cfRule>
  </conditionalFormatting>
  <conditionalFormatting sqref="AJ40">
    <cfRule type="expression" dxfId="1077" priority="4637" stopIfTrue="1">
      <formula>AJ$20="CYA"</formula>
    </cfRule>
  </conditionalFormatting>
  <conditionalFormatting sqref="AK40">
    <cfRule type="expression" dxfId="1076" priority="4636" stopIfTrue="1">
      <formula>AK$20="CYA"</formula>
    </cfRule>
  </conditionalFormatting>
  <conditionalFormatting sqref="AL40">
    <cfRule type="expression" dxfId="1075" priority="4635" stopIfTrue="1">
      <formula>AL$20="CYA"</formula>
    </cfRule>
  </conditionalFormatting>
  <conditionalFormatting sqref="AM40">
    <cfRule type="expression" dxfId="1074" priority="4634" stopIfTrue="1">
      <formula>AM$20="CYA"</formula>
    </cfRule>
  </conditionalFormatting>
  <conditionalFormatting sqref="AN40">
    <cfRule type="expression" dxfId="1073" priority="4633" stopIfTrue="1">
      <formula>AN$20="CYA"</formula>
    </cfRule>
  </conditionalFormatting>
  <conditionalFormatting sqref="W41">
    <cfRule type="expression" dxfId="1072" priority="4632" stopIfTrue="1">
      <formula>W$20="CYA"</formula>
    </cfRule>
  </conditionalFormatting>
  <conditionalFormatting sqref="X41">
    <cfRule type="expression" dxfId="1071" priority="4631" stopIfTrue="1">
      <formula>X$20="CYA"</formula>
    </cfRule>
  </conditionalFormatting>
  <conditionalFormatting sqref="Y41">
    <cfRule type="expression" dxfId="1070" priority="4630" stopIfTrue="1">
      <formula>Y$20="CYA"</formula>
    </cfRule>
  </conditionalFormatting>
  <conditionalFormatting sqref="Z41">
    <cfRule type="expression" dxfId="1069" priority="4629" stopIfTrue="1">
      <formula>Z$20="CYA"</formula>
    </cfRule>
  </conditionalFormatting>
  <conditionalFormatting sqref="AA41">
    <cfRule type="expression" dxfId="1068" priority="4628" stopIfTrue="1">
      <formula>AA$20="CYA"</formula>
    </cfRule>
  </conditionalFormatting>
  <conditionalFormatting sqref="AB41">
    <cfRule type="expression" dxfId="1067" priority="4627" stopIfTrue="1">
      <formula>AB$20="CYA"</formula>
    </cfRule>
  </conditionalFormatting>
  <conditionalFormatting sqref="AC41">
    <cfRule type="expression" dxfId="1066" priority="4626" stopIfTrue="1">
      <formula>AC$20="CYA"</formula>
    </cfRule>
  </conditionalFormatting>
  <conditionalFormatting sqref="AD41">
    <cfRule type="expression" dxfId="1065" priority="4625" stopIfTrue="1">
      <formula>AD$20="CYA"</formula>
    </cfRule>
  </conditionalFormatting>
  <conditionalFormatting sqref="AE41">
    <cfRule type="expression" dxfId="1064" priority="4624" stopIfTrue="1">
      <formula>AE$20="CYA"</formula>
    </cfRule>
  </conditionalFormatting>
  <conditionalFormatting sqref="AF41">
    <cfRule type="expression" dxfId="1063" priority="4623" stopIfTrue="1">
      <formula>AF$20="CYA"</formula>
    </cfRule>
  </conditionalFormatting>
  <conditionalFormatting sqref="AG41">
    <cfRule type="expression" dxfId="1062" priority="4622" stopIfTrue="1">
      <formula>AG$20="CYA"</formula>
    </cfRule>
  </conditionalFormatting>
  <conditionalFormatting sqref="AH41">
    <cfRule type="expression" dxfId="1061" priority="4621" stopIfTrue="1">
      <formula>AH$20="CYA"</formula>
    </cfRule>
  </conditionalFormatting>
  <conditionalFormatting sqref="AI41">
    <cfRule type="expression" dxfId="1060" priority="4620" stopIfTrue="1">
      <formula>AI$20="CYA"</formula>
    </cfRule>
  </conditionalFormatting>
  <conditionalFormatting sqref="AJ41">
    <cfRule type="expression" dxfId="1059" priority="4619" stopIfTrue="1">
      <formula>AJ$20="CYA"</formula>
    </cfRule>
  </conditionalFormatting>
  <conditionalFormatting sqref="AK41">
    <cfRule type="expression" dxfId="1058" priority="4618" stopIfTrue="1">
      <formula>AK$20="CYA"</formula>
    </cfRule>
  </conditionalFormatting>
  <conditionalFormatting sqref="AL41">
    <cfRule type="expression" dxfId="1057" priority="4617" stopIfTrue="1">
      <formula>AL$20="CYA"</formula>
    </cfRule>
  </conditionalFormatting>
  <conditionalFormatting sqref="AM41">
    <cfRule type="expression" dxfId="1056" priority="4616" stopIfTrue="1">
      <formula>AM$20="CYA"</formula>
    </cfRule>
  </conditionalFormatting>
  <conditionalFormatting sqref="AN41">
    <cfRule type="expression" dxfId="1055" priority="4615" stopIfTrue="1">
      <formula>AN$20="CYA"</formula>
    </cfRule>
  </conditionalFormatting>
  <conditionalFormatting sqref="W42">
    <cfRule type="expression" dxfId="1054" priority="4614" stopIfTrue="1">
      <formula>W$20="CYA"</formula>
    </cfRule>
  </conditionalFormatting>
  <conditionalFormatting sqref="X42">
    <cfRule type="expression" dxfId="1053" priority="4613" stopIfTrue="1">
      <formula>X$20="CYA"</formula>
    </cfRule>
  </conditionalFormatting>
  <conditionalFormatting sqref="Y42">
    <cfRule type="expression" dxfId="1052" priority="4612" stopIfTrue="1">
      <formula>Y$20="CYA"</formula>
    </cfRule>
  </conditionalFormatting>
  <conditionalFormatting sqref="Z42">
    <cfRule type="expression" dxfId="1051" priority="4611" stopIfTrue="1">
      <formula>Z$20="CYA"</formula>
    </cfRule>
  </conditionalFormatting>
  <conditionalFormatting sqref="AA42">
    <cfRule type="expression" dxfId="1050" priority="4610" stopIfTrue="1">
      <formula>AA$20="CYA"</formula>
    </cfRule>
  </conditionalFormatting>
  <conditionalFormatting sqref="AB42">
    <cfRule type="expression" dxfId="1049" priority="4609" stopIfTrue="1">
      <formula>AB$20="CYA"</formula>
    </cfRule>
  </conditionalFormatting>
  <conditionalFormatting sqref="AA43">
    <cfRule type="expression" dxfId="1048" priority="4592" stopIfTrue="1">
      <formula>AA$20="CYA"</formula>
    </cfRule>
  </conditionalFormatting>
  <conditionalFormatting sqref="Z43">
    <cfRule type="expression" dxfId="1047" priority="4593" stopIfTrue="1">
      <formula>Z$20="CYA"</formula>
    </cfRule>
  </conditionalFormatting>
  <conditionalFormatting sqref="AE46">
    <cfRule type="expression" dxfId="1046" priority="4572" stopIfTrue="1">
      <formula>AE$20="CYA"</formula>
    </cfRule>
  </conditionalFormatting>
  <conditionalFormatting sqref="AB43">
    <cfRule type="expression" dxfId="1045" priority="4591" stopIfTrue="1">
      <formula>AB$20="CYA"</formula>
    </cfRule>
  </conditionalFormatting>
  <conditionalFormatting sqref="AG46">
    <cfRule type="expression" dxfId="1044" priority="4570" stopIfTrue="1">
      <formula>AG$20="CYA"</formula>
    </cfRule>
  </conditionalFormatting>
  <conditionalFormatting sqref="AH46">
    <cfRule type="expression" dxfId="1043" priority="4569" stopIfTrue="1">
      <formula>AH$20="CYA"</formula>
    </cfRule>
  </conditionalFormatting>
  <conditionalFormatting sqref="Y46">
    <cfRule type="expression" dxfId="1042" priority="4578" stopIfTrue="1">
      <formula>Y$20="CYA"</formula>
    </cfRule>
  </conditionalFormatting>
  <conditionalFormatting sqref="Z46">
    <cfRule type="expression" dxfId="1041" priority="4577" stopIfTrue="1">
      <formula>Z$20="CYA"</formula>
    </cfRule>
  </conditionalFormatting>
  <conditionalFormatting sqref="AA46">
    <cfRule type="expression" dxfId="1040" priority="4576" stopIfTrue="1">
      <formula>AA$20="CYA"</formula>
    </cfRule>
  </conditionalFormatting>
  <conditionalFormatting sqref="AB46">
    <cfRule type="expression" dxfId="1039" priority="4575" stopIfTrue="1">
      <formula>AB$20="CYA"</formula>
    </cfRule>
  </conditionalFormatting>
  <conditionalFormatting sqref="AC46">
    <cfRule type="expression" dxfId="1038" priority="4574" stopIfTrue="1">
      <formula>AC$20="CYA"</formula>
    </cfRule>
  </conditionalFormatting>
  <conditionalFormatting sqref="AD46">
    <cfRule type="expression" dxfId="1037" priority="4573" stopIfTrue="1">
      <formula>AD$20="CYA"</formula>
    </cfRule>
  </conditionalFormatting>
  <conditionalFormatting sqref="W43">
    <cfRule type="expression" dxfId="1036" priority="4596" stopIfTrue="1">
      <formula>W$20="CYA"</formula>
    </cfRule>
  </conditionalFormatting>
  <conditionalFormatting sqref="X43">
    <cfRule type="expression" dxfId="1035" priority="4595" stopIfTrue="1">
      <formula>X$20="CYA"</formula>
    </cfRule>
  </conditionalFormatting>
  <conditionalFormatting sqref="Y43">
    <cfRule type="expression" dxfId="1034" priority="4594" stopIfTrue="1">
      <formula>Y$20="CYA"</formula>
    </cfRule>
  </conditionalFormatting>
  <conditionalFormatting sqref="AN46">
    <cfRule type="expression" dxfId="1033" priority="4563" stopIfTrue="1">
      <formula>AN$20="CYA"</formula>
    </cfRule>
  </conditionalFormatting>
  <conditionalFormatting sqref="Y47">
    <cfRule type="expression" dxfId="1032" priority="4562" stopIfTrue="1">
      <formula>Y$20="CYA"</formula>
    </cfRule>
  </conditionalFormatting>
  <conditionalFormatting sqref="AF46">
    <cfRule type="expression" dxfId="1031" priority="4571" stopIfTrue="1">
      <formula>AF$20="CYA"</formula>
    </cfRule>
  </conditionalFormatting>
  <conditionalFormatting sqref="AM46">
    <cfRule type="expression" dxfId="1030" priority="4564" stopIfTrue="1">
      <formula>AM$20="CYA"</formula>
    </cfRule>
  </conditionalFormatting>
  <conditionalFormatting sqref="AL46">
    <cfRule type="expression" dxfId="1029" priority="4565" stopIfTrue="1">
      <formula>AL$20="CYA"</formula>
    </cfRule>
  </conditionalFormatting>
  <conditionalFormatting sqref="AG47">
    <cfRule type="expression" dxfId="1028" priority="4554" stopIfTrue="1">
      <formula>AG$20="CYA"</formula>
    </cfRule>
  </conditionalFormatting>
  <conditionalFormatting sqref="Z47">
    <cfRule type="expression" dxfId="1027" priority="4561" stopIfTrue="1">
      <formula>Z$20="CYA"</formula>
    </cfRule>
  </conditionalFormatting>
  <conditionalFormatting sqref="AA47">
    <cfRule type="expression" dxfId="1026" priority="4560" stopIfTrue="1">
      <formula>AA$20="CYA"</formula>
    </cfRule>
  </conditionalFormatting>
  <conditionalFormatting sqref="AB47">
    <cfRule type="expression" dxfId="1025" priority="4559" stopIfTrue="1">
      <formula>AB$20="CYA"</formula>
    </cfRule>
  </conditionalFormatting>
  <conditionalFormatting sqref="AI46">
    <cfRule type="expression" dxfId="1024" priority="4568" stopIfTrue="1">
      <formula>AI$20="CYA"</formula>
    </cfRule>
  </conditionalFormatting>
  <conditionalFormatting sqref="AJ46">
    <cfRule type="expression" dxfId="1023" priority="4567" stopIfTrue="1">
      <formula>AJ$20="CYA"</formula>
    </cfRule>
  </conditionalFormatting>
  <conditionalFormatting sqref="AK46">
    <cfRule type="expression" dxfId="1022" priority="4566" stopIfTrue="1">
      <formula>AK$20="CYA"</formula>
    </cfRule>
  </conditionalFormatting>
  <conditionalFormatting sqref="AF47">
    <cfRule type="expression" dxfId="1021" priority="4555" stopIfTrue="1">
      <formula>AF$20="CYA"</formula>
    </cfRule>
  </conditionalFormatting>
  <conditionalFormatting sqref="AC47">
    <cfRule type="expression" dxfId="1020" priority="4558" stopIfTrue="1">
      <formula>AC$20="CYA"</formula>
    </cfRule>
  </conditionalFormatting>
  <conditionalFormatting sqref="AD47">
    <cfRule type="expression" dxfId="1019" priority="4557" stopIfTrue="1">
      <formula>AD$20="CYA"</formula>
    </cfRule>
  </conditionalFormatting>
  <conditionalFormatting sqref="AE47">
    <cfRule type="expression" dxfId="1018" priority="4556" stopIfTrue="1">
      <formula>AE$20="CYA"</formula>
    </cfRule>
  </conditionalFormatting>
  <conditionalFormatting sqref="AA67">
    <cfRule type="expression" dxfId="1017" priority="4384" stopIfTrue="1">
      <formula>AA$20="CYA"</formula>
    </cfRule>
  </conditionalFormatting>
  <conditionalFormatting sqref="AB67">
    <cfRule type="expression" dxfId="1016" priority="4383" stopIfTrue="1">
      <formula>AB$20="CYA"</formula>
    </cfRule>
  </conditionalFormatting>
  <conditionalFormatting sqref="AH47">
    <cfRule type="expression" dxfId="1015" priority="4553" stopIfTrue="1">
      <formula>AH$20="CYA"</formula>
    </cfRule>
  </conditionalFormatting>
  <conditionalFormatting sqref="W67">
    <cfRule type="expression" dxfId="1014" priority="4388" stopIfTrue="1">
      <formula>W$20="CYA"</formula>
    </cfRule>
  </conditionalFormatting>
  <conditionalFormatting sqref="X67">
    <cfRule type="expression" dxfId="1013" priority="4387" stopIfTrue="1">
      <formula>X$20="CYA"</formula>
    </cfRule>
  </conditionalFormatting>
  <conditionalFormatting sqref="Y67">
    <cfRule type="expression" dxfId="1012" priority="4386" stopIfTrue="1">
      <formula>Y$20="CYA"</formula>
    </cfRule>
  </conditionalFormatting>
  <conditionalFormatting sqref="Z67">
    <cfRule type="expression" dxfId="1011" priority="4385" stopIfTrue="1">
      <formula>Z$20="CYA"</formula>
    </cfRule>
  </conditionalFormatting>
  <conditionalFormatting sqref="Z48">
    <cfRule type="expression" dxfId="1010" priority="4545" stopIfTrue="1">
      <formula>Z$20="CYA"</formula>
    </cfRule>
  </conditionalFormatting>
  <conditionalFormatting sqref="AA48">
    <cfRule type="expression" dxfId="1009" priority="4544" stopIfTrue="1">
      <formula>AA$20="CYA"</formula>
    </cfRule>
  </conditionalFormatting>
  <conditionalFormatting sqref="AI47">
    <cfRule type="expression" dxfId="1008" priority="4552" stopIfTrue="1">
      <formula>AI$20="CYA"</formula>
    </cfRule>
  </conditionalFormatting>
  <conditionalFormatting sqref="AJ47">
    <cfRule type="expression" dxfId="1007" priority="4551" stopIfTrue="1">
      <formula>AJ$20="CYA"</formula>
    </cfRule>
  </conditionalFormatting>
  <conditionalFormatting sqref="AK47">
    <cfRule type="expression" dxfId="1006" priority="4550" stopIfTrue="1">
      <formula>AK$20="CYA"</formula>
    </cfRule>
  </conditionalFormatting>
  <conditionalFormatting sqref="AL47">
    <cfRule type="expression" dxfId="1005" priority="4549" stopIfTrue="1">
      <formula>AL$20="CYA"</formula>
    </cfRule>
  </conditionalFormatting>
  <conditionalFormatting sqref="AM47">
    <cfRule type="expression" dxfId="1004" priority="4548" stopIfTrue="1">
      <formula>AM$20="CYA"</formula>
    </cfRule>
  </conditionalFormatting>
  <conditionalFormatting sqref="AN47">
    <cfRule type="expression" dxfId="1003" priority="4547" stopIfTrue="1">
      <formula>AN$20="CYA"</formula>
    </cfRule>
  </conditionalFormatting>
  <conditionalFormatting sqref="Y48">
    <cfRule type="expression" dxfId="1002" priority="4546" stopIfTrue="1">
      <formula>Y$20="CYA"</formula>
    </cfRule>
  </conditionalFormatting>
  <conditionalFormatting sqref="AB48">
    <cfRule type="expression" dxfId="1001" priority="4543" stopIfTrue="1">
      <formula>AB$20="CYA"</formula>
    </cfRule>
  </conditionalFormatting>
  <conditionalFormatting sqref="W71">
    <cfRule type="expression" dxfId="1000" priority="4370" stopIfTrue="1">
      <formula>W$20="CYA"</formula>
    </cfRule>
  </conditionalFormatting>
  <conditionalFormatting sqref="X71">
    <cfRule type="expression" dxfId="999" priority="4369" stopIfTrue="1">
      <formula>X$20="CYA"</formula>
    </cfRule>
  </conditionalFormatting>
  <conditionalFormatting sqref="Y71">
    <cfRule type="expression" dxfId="998" priority="4368" stopIfTrue="1">
      <formula>Y$20="CYA"</formula>
    </cfRule>
  </conditionalFormatting>
  <conditionalFormatting sqref="Z71">
    <cfRule type="expression" dxfId="997" priority="4367" stopIfTrue="1">
      <formula>Z$20="CYA"</formula>
    </cfRule>
  </conditionalFormatting>
  <conditionalFormatting sqref="AA71">
    <cfRule type="expression" dxfId="996" priority="4366" stopIfTrue="1">
      <formula>AA$20="CYA"</formula>
    </cfRule>
  </conditionalFormatting>
  <conditionalFormatting sqref="AB71">
    <cfRule type="expression" dxfId="995" priority="4365" stopIfTrue="1">
      <formula>AB$20="CYA"</formula>
    </cfRule>
  </conditionalFormatting>
  <conditionalFormatting sqref="AC71">
    <cfRule type="expression" dxfId="994" priority="4364" stopIfTrue="1">
      <formula>AC$20="CYA"</formula>
    </cfRule>
  </conditionalFormatting>
  <conditionalFormatting sqref="Y49">
    <cfRule type="expression" dxfId="993" priority="4530" stopIfTrue="1">
      <formula>Y$20="CYA"</formula>
    </cfRule>
  </conditionalFormatting>
  <conditionalFormatting sqref="Z49">
    <cfRule type="expression" dxfId="992" priority="4529" stopIfTrue="1">
      <formula>Z$20="CYA"</formula>
    </cfRule>
  </conditionalFormatting>
  <conditionalFormatting sqref="AA49">
    <cfRule type="expression" dxfId="991" priority="4528" stopIfTrue="1">
      <formula>AA$20="CYA"</formula>
    </cfRule>
  </conditionalFormatting>
  <conditionalFormatting sqref="AB49">
    <cfRule type="expression" dxfId="990" priority="4527" stopIfTrue="1">
      <formula>AB$20="CYA"</formula>
    </cfRule>
  </conditionalFormatting>
  <conditionalFormatting sqref="AE52">
    <cfRule type="expression" dxfId="989" priority="4506" stopIfTrue="1">
      <formula>AE$20="CYA"</formula>
    </cfRule>
  </conditionalFormatting>
  <conditionalFormatting sqref="AF52">
    <cfRule type="expression" dxfId="988" priority="4505" stopIfTrue="1">
      <formula>AF$20="CYA"</formula>
    </cfRule>
  </conditionalFormatting>
  <conditionalFormatting sqref="W52">
    <cfRule type="expression" dxfId="987" priority="4514" stopIfTrue="1">
      <formula>W$20="CYA"</formula>
    </cfRule>
  </conditionalFormatting>
  <conditionalFormatting sqref="X52">
    <cfRule type="expression" dxfId="986" priority="4513" stopIfTrue="1">
      <formula>X$20="CYA"</formula>
    </cfRule>
  </conditionalFormatting>
  <conditionalFormatting sqref="Y52">
    <cfRule type="expression" dxfId="985" priority="4512" stopIfTrue="1">
      <formula>Y$20="CYA"</formula>
    </cfRule>
  </conditionalFormatting>
  <conditionalFormatting sqref="Z52">
    <cfRule type="expression" dxfId="984" priority="4511" stopIfTrue="1">
      <formula>Z$20="CYA"</formula>
    </cfRule>
  </conditionalFormatting>
  <conditionalFormatting sqref="AA52">
    <cfRule type="expression" dxfId="983" priority="4510" stopIfTrue="1">
      <formula>AA$20="CYA"</formula>
    </cfRule>
  </conditionalFormatting>
  <conditionalFormatting sqref="AB52">
    <cfRule type="expression" dxfId="982" priority="4509" stopIfTrue="1">
      <formula>AB$20="CYA"</formula>
    </cfRule>
  </conditionalFormatting>
  <conditionalFormatting sqref="AK52">
    <cfRule type="expression" dxfId="981" priority="4500" stopIfTrue="1">
      <formula>AK$20="CYA"</formula>
    </cfRule>
  </conditionalFormatting>
  <conditionalFormatting sqref="AL52">
    <cfRule type="expression" dxfId="980" priority="4499" stopIfTrue="1">
      <formula>AL$20="CYA"</formula>
    </cfRule>
  </conditionalFormatting>
  <conditionalFormatting sqref="AC52">
    <cfRule type="expression" dxfId="979" priority="4508" stopIfTrue="1">
      <formula>AC$20="CYA"</formula>
    </cfRule>
  </conditionalFormatting>
  <conditionalFormatting sqref="AD52">
    <cfRule type="expression" dxfId="978" priority="4507" stopIfTrue="1">
      <formula>AD$20="CYA"</formula>
    </cfRule>
  </conditionalFormatting>
  <conditionalFormatting sqref="AG52">
    <cfRule type="expression" dxfId="977" priority="4504" stopIfTrue="1">
      <formula>AG$20="CYA"</formula>
    </cfRule>
  </conditionalFormatting>
  <conditionalFormatting sqref="AH52">
    <cfRule type="expression" dxfId="976" priority="4503" stopIfTrue="1">
      <formula>AH$20="CYA"</formula>
    </cfRule>
  </conditionalFormatting>
  <conditionalFormatting sqref="AI52">
    <cfRule type="expression" dxfId="975" priority="4502" stopIfTrue="1">
      <formula>AI$20="CYA"</formula>
    </cfRule>
  </conditionalFormatting>
  <conditionalFormatting sqref="AJ52">
    <cfRule type="expression" dxfId="974" priority="4501" stopIfTrue="1">
      <formula>AJ$20="CYA"</formula>
    </cfRule>
  </conditionalFormatting>
  <conditionalFormatting sqref="AM52">
    <cfRule type="expression" dxfId="973" priority="4498" stopIfTrue="1">
      <formula>AM$20="CYA"</formula>
    </cfRule>
  </conditionalFormatting>
  <conditionalFormatting sqref="AN52">
    <cfRule type="expression" dxfId="972" priority="4497" stopIfTrue="1">
      <formula>AN$20="CYA"</formula>
    </cfRule>
  </conditionalFormatting>
  <conditionalFormatting sqref="W53">
    <cfRule type="expression" dxfId="971" priority="4496" stopIfTrue="1">
      <formula>W$20="CYA"</formula>
    </cfRule>
  </conditionalFormatting>
  <conditionalFormatting sqref="X53">
    <cfRule type="expression" dxfId="970" priority="4495" stopIfTrue="1">
      <formula>X$20="CYA"</formula>
    </cfRule>
  </conditionalFormatting>
  <conditionalFormatting sqref="Y53">
    <cfRule type="expression" dxfId="969" priority="4494" stopIfTrue="1">
      <formula>Y$20="CYA"</formula>
    </cfRule>
  </conditionalFormatting>
  <conditionalFormatting sqref="Z53">
    <cfRule type="expression" dxfId="968" priority="4493" stopIfTrue="1">
      <formula>Z$20="CYA"</formula>
    </cfRule>
  </conditionalFormatting>
  <conditionalFormatting sqref="AA53">
    <cfRule type="expression" dxfId="967" priority="4492" stopIfTrue="1">
      <formula>AA$20="CYA"</formula>
    </cfRule>
  </conditionalFormatting>
  <conditionalFormatting sqref="AB53">
    <cfRule type="expression" dxfId="966" priority="4491" stopIfTrue="1">
      <formula>AB$20="CYA"</formula>
    </cfRule>
  </conditionalFormatting>
  <conditionalFormatting sqref="AC53">
    <cfRule type="expression" dxfId="965" priority="4490" stopIfTrue="1">
      <formula>AC$20="CYA"</formula>
    </cfRule>
  </conditionalFormatting>
  <conditionalFormatting sqref="AD53">
    <cfRule type="expression" dxfId="964" priority="4489" stopIfTrue="1">
      <formula>AD$20="CYA"</formula>
    </cfRule>
  </conditionalFormatting>
  <conditionalFormatting sqref="AI53">
    <cfRule type="expression" dxfId="963" priority="4484" stopIfTrue="1">
      <formula>AI$20="CYA"</formula>
    </cfRule>
  </conditionalFormatting>
  <conditionalFormatting sqref="AJ53">
    <cfRule type="expression" dxfId="962" priority="4483" stopIfTrue="1">
      <formula>AJ$20="CYA"</formula>
    </cfRule>
  </conditionalFormatting>
  <conditionalFormatting sqref="AE53">
    <cfRule type="expression" dxfId="961" priority="4488" stopIfTrue="1">
      <formula>AE$20="CYA"</formula>
    </cfRule>
  </conditionalFormatting>
  <conditionalFormatting sqref="AF53">
    <cfRule type="expression" dxfId="960" priority="4487" stopIfTrue="1">
      <formula>AF$20="CYA"</formula>
    </cfRule>
  </conditionalFormatting>
  <conditionalFormatting sqref="AG53">
    <cfRule type="expression" dxfId="959" priority="4486" stopIfTrue="1">
      <formula>AG$20="CYA"</formula>
    </cfRule>
  </conditionalFormatting>
  <conditionalFormatting sqref="AH53">
    <cfRule type="expression" dxfId="958" priority="4485" stopIfTrue="1">
      <formula>AH$20="CYA"</formula>
    </cfRule>
  </conditionalFormatting>
  <conditionalFormatting sqref="AA75">
    <cfRule type="expression" dxfId="957" priority="4313" stopIfTrue="1">
      <formula>AA$20="CYA"</formula>
    </cfRule>
  </conditionalFormatting>
  <conditionalFormatting sqref="AB75">
    <cfRule type="expression" dxfId="956" priority="4312" stopIfTrue="1">
      <formula>AB$20="CYA"</formula>
    </cfRule>
  </conditionalFormatting>
  <conditionalFormatting sqref="AK53">
    <cfRule type="expression" dxfId="955" priority="4482" stopIfTrue="1">
      <formula>AK$20="CYA"</formula>
    </cfRule>
  </conditionalFormatting>
  <conditionalFormatting sqref="AL53">
    <cfRule type="expression" dxfId="954" priority="4481" stopIfTrue="1">
      <formula>AL$20="CYA"</formula>
    </cfRule>
  </conditionalFormatting>
  <conditionalFormatting sqref="AM53">
    <cfRule type="expression" dxfId="953" priority="4480" stopIfTrue="1">
      <formula>AM$20="CYA"</formula>
    </cfRule>
  </conditionalFormatting>
  <conditionalFormatting sqref="AN53">
    <cfRule type="expression" dxfId="952" priority="4479" stopIfTrue="1">
      <formula>AN$20="CYA"</formula>
    </cfRule>
  </conditionalFormatting>
  <conditionalFormatting sqref="W54">
    <cfRule type="expression" dxfId="951" priority="4478" stopIfTrue="1">
      <formula>W$20="CYA"</formula>
    </cfRule>
  </conditionalFormatting>
  <conditionalFormatting sqref="X54">
    <cfRule type="expression" dxfId="950" priority="4477" stopIfTrue="1">
      <formula>X$20="CYA"</formula>
    </cfRule>
  </conditionalFormatting>
  <conditionalFormatting sqref="AE63">
    <cfRule type="expression" dxfId="949" priority="4434" stopIfTrue="1">
      <formula>AE$20="CYA"</formula>
    </cfRule>
  </conditionalFormatting>
  <conditionalFormatting sqref="AF63">
    <cfRule type="expression" dxfId="948" priority="4433" stopIfTrue="1">
      <formula>AF$20="CYA"</formula>
    </cfRule>
  </conditionalFormatting>
  <conditionalFormatting sqref="W63">
    <cfRule type="expression" dxfId="947" priority="4442" stopIfTrue="1">
      <formula>W$20="CYA"</formula>
    </cfRule>
  </conditionalFormatting>
  <conditionalFormatting sqref="X63">
    <cfRule type="expression" dxfId="946" priority="4441" stopIfTrue="1">
      <formula>X$20="CYA"</formula>
    </cfRule>
  </conditionalFormatting>
  <conditionalFormatting sqref="W55">
    <cfRule type="expression" dxfId="945" priority="4460" stopIfTrue="1">
      <formula>W$20="CYA"</formula>
    </cfRule>
  </conditionalFormatting>
  <conditionalFormatting sqref="X55">
    <cfRule type="expression" dxfId="944" priority="4459" stopIfTrue="1">
      <formula>X$20="CYA"</formula>
    </cfRule>
  </conditionalFormatting>
  <conditionalFormatting sqref="Y55">
    <cfRule type="expression" dxfId="943" priority="4458" stopIfTrue="1">
      <formula>Y$20="CYA"</formula>
    </cfRule>
  </conditionalFormatting>
  <conditionalFormatting sqref="Z55">
    <cfRule type="expression" dxfId="942" priority="4457" stopIfTrue="1">
      <formula>Z$20="CYA"</formula>
    </cfRule>
  </conditionalFormatting>
  <conditionalFormatting sqref="AA55">
    <cfRule type="expression" dxfId="941" priority="4456" stopIfTrue="1">
      <formula>AA$20="CYA"</formula>
    </cfRule>
  </conditionalFormatting>
  <conditionalFormatting sqref="AB55">
    <cfRule type="expression" dxfId="940" priority="4455" stopIfTrue="1">
      <formula>AB$20="CYA"</formula>
    </cfRule>
  </conditionalFormatting>
  <conditionalFormatting sqref="X81">
    <cfRule type="expression" dxfId="939" priority="4263" stopIfTrue="1">
      <formula>X$20="CYA"</formula>
    </cfRule>
  </conditionalFormatting>
  <conditionalFormatting sqref="Y81">
    <cfRule type="expression" dxfId="938" priority="4262" stopIfTrue="1">
      <formula>Y$20="CYA"</formula>
    </cfRule>
  </conditionalFormatting>
  <conditionalFormatting sqref="Y63">
    <cfRule type="expression" dxfId="937" priority="4440" stopIfTrue="1">
      <formula>Y$20="CYA"</formula>
    </cfRule>
  </conditionalFormatting>
  <conditionalFormatting sqref="Z63">
    <cfRule type="expression" dxfId="936" priority="4439" stopIfTrue="1">
      <formula>Z$20="CYA"</formula>
    </cfRule>
  </conditionalFormatting>
  <conditionalFormatting sqref="AA63">
    <cfRule type="expression" dxfId="935" priority="4438" stopIfTrue="1">
      <formula>AA$20="CYA"</formula>
    </cfRule>
  </conditionalFormatting>
  <conditionalFormatting sqref="AB63">
    <cfRule type="expression" dxfId="934" priority="4437" stopIfTrue="1">
      <formula>AB$20="CYA"</formula>
    </cfRule>
  </conditionalFormatting>
  <conditionalFormatting sqref="AC63">
    <cfRule type="expression" dxfId="933" priority="4436" stopIfTrue="1">
      <formula>AC$20="CYA"</formula>
    </cfRule>
  </conditionalFormatting>
  <conditionalFormatting sqref="AD63">
    <cfRule type="expression" dxfId="932" priority="4435" stopIfTrue="1">
      <formula>AD$20="CYA"</formula>
    </cfRule>
  </conditionalFormatting>
  <conditionalFormatting sqref="AM63">
    <cfRule type="expression" dxfId="931" priority="4426" stopIfTrue="1">
      <formula>AM$20="CYA"</formula>
    </cfRule>
  </conditionalFormatting>
  <conditionalFormatting sqref="AN63">
    <cfRule type="expression" dxfId="930" priority="4425" stopIfTrue="1">
      <formula>AN$20="CYA"</formula>
    </cfRule>
  </conditionalFormatting>
  <conditionalFormatting sqref="W64">
    <cfRule type="expression" dxfId="929" priority="4424" stopIfTrue="1">
      <formula>W$20="CYA"</formula>
    </cfRule>
  </conditionalFormatting>
  <conditionalFormatting sqref="X64">
    <cfRule type="expression" dxfId="928" priority="4423" stopIfTrue="1">
      <formula>X$20="CYA"</formula>
    </cfRule>
  </conditionalFormatting>
  <conditionalFormatting sqref="AG63">
    <cfRule type="expression" dxfId="927" priority="4432" stopIfTrue="1">
      <formula>AG$20="CYA"</formula>
    </cfRule>
  </conditionalFormatting>
  <conditionalFormatting sqref="AH63">
    <cfRule type="expression" dxfId="926" priority="4431" stopIfTrue="1">
      <formula>AH$20="CYA"</formula>
    </cfRule>
  </conditionalFormatting>
  <conditionalFormatting sqref="AI63">
    <cfRule type="expression" dxfId="925" priority="4430" stopIfTrue="1">
      <formula>AI$20="CYA"</formula>
    </cfRule>
  </conditionalFormatting>
  <conditionalFormatting sqref="AJ63">
    <cfRule type="expression" dxfId="924" priority="4429" stopIfTrue="1">
      <formula>AJ$20="CYA"</formula>
    </cfRule>
  </conditionalFormatting>
  <conditionalFormatting sqref="AK63">
    <cfRule type="expression" dxfId="923" priority="4428" stopIfTrue="1">
      <formula>AK$20="CYA"</formula>
    </cfRule>
  </conditionalFormatting>
  <conditionalFormatting sqref="AL63">
    <cfRule type="expression" dxfId="922" priority="4427" stopIfTrue="1">
      <formula>AL$20="CYA"</formula>
    </cfRule>
  </conditionalFormatting>
  <conditionalFormatting sqref="Z81">
    <cfRule type="expression" dxfId="921" priority="4261" stopIfTrue="1">
      <formula>Z$20="CYA"</formula>
    </cfRule>
  </conditionalFormatting>
  <conditionalFormatting sqref="AA81">
    <cfRule type="expression" dxfId="920" priority="4260" stopIfTrue="1">
      <formula>AA$20="CYA"</formula>
    </cfRule>
  </conditionalFormatting>
  <conditionalFormatting sqref="AB81">
    <cfRule type="expression" dxfId="919" priority="4259" stopIfTrue="1">
      <formula>AB$20="CYA"</formula>
    </cfRule>
  </conditionalFormatting>
  <conditionalFormatting sqref="AE64">
    <cfRule type="expression" dxfId="918" priority="4416" stopIfTrue="1">
      <formula>AE$20="CYA"</formula>
    </cfRule>
  </conditionalFormatting>
  <conditionalFormatting sqref="AF64">
    <cfRule type="expression" dxfId="917" priority="4415" stopIfTrue="1">
      <formula>AF$20="CYA"</formula>
    </cfRule>
  </conditionalFormatting>
  <conditionalFormatting sqref="Y64">
    <cfRule type="expression" dxfId="916" priority="4422" stopIfTrue="1">
      <formula>Y$20="CYA"</formula>
    </cfRule>
  </conditionalFormatting>
  <conditionalFormatting sqref="Z64">
    <cfRule type="expression" dxfId="915" priority="4421" stopIfTrue="1">
      <formula>Z$20="CYA"</formula>
    </cfRule>
  </conditionalFormatting>
  <conditionalFormatting sqref="AA64">
    <cfRule type="expression" dxfId="914" priority="4420" stopIfTrue="1">
      <formula>AA$20="CYA"</formula>
    </cfRule>
  </conditionalFormatting>
  <conditionalFormatting sqref="AB64">
    <cfRule type="expression" dxfId="913" priority="4419" stopIfTrue="1">
      <formula>AB$20="CYA"</formula>
    </cfRule>
  </conditionalFormatting>
  <conditionalFormatting sqref="AC64">
    <cfRule type="expression" dxfId="912" priority="4418" stopIfTrue="1">
      <formula>AC$20="CYA"</formula>
    </cfRule>
  </conditionalFormatting>
  <conditionalFormatting sqref="AD64">
    <cfRule type="expression" dxfId="911" priority="4417" stopIfTrue="1">
      <formula>AD$20="CYA"</formula>
    </cfRule>
  </conditionalFormatting>
  <conditionalFormatting sqref="X83">
    <cfRule type="expression" dxfId="910" priority="4245" stopIfTrue="1">
      <formula>X$20="CYA"</formula>
    </cfRule>
  </conditionalFormatting>
  <conditionalFormatting sqref="Y83">
    <cfRule type="expression" dxfId="909" priority="4244" stopIfTrue="1">
      <formula>Y$20="CYA"</formula>
    </cfRule>
  </conditionalFormatting>
  <conditionalFormatting sqref="AG64">
    <cfRule type="expression" dxfId="908" priority="4414" stopIfTrue="1">
      <formula>AG$20="CYA"</formula>
    </cfRule>
  </conditionalFormatting>
  <conditionalFormatting sqref="AH64">
    <cfRule type="expression" dxfId="907" priority="4413" stopIfTrue="1">
      <formula>AH$20="CYA"</formula>
    </cfRule>
  </conditionalFormatting>
  <conditionalFormatting sqref="AI64">
    <cfRule type="expression" dxfId="906" priority="4412" stopIfTrue="1">
      <formula>AI$20="CYA"</formula>
    </cfRule>
  </conditionalFormatting>
  <conditionalFormatting sqref="AJ64">
    <cfRule type="expression" dxfId="905" priority="4411" stopIfTrue="1">
      <formula>AJ$20="CYA"</formula>
    </cfRule>
  </conditionalFormatting>
  <conditionalFormatting sqref="AK64">
    <cfRule type="expression" dxfId="904" priority="4410" stopIfTrue="1">
      <formula>AK$20="CYA"</formula>
    </cfRule>
  </conditionalFormatting>
  <conditionalFormatting sqref="AL64">
    <cfRule type="expression" dxfId="903" priority="4409" stopIfTrue="1">
      <formula>AL$20="CYA"</formula>
    </cfRule>
  </conditionalFormatting>
  <conditionalFormatting sqref="AM64">
    <cfRule type="expression" dxfId="902" priority="4408" stopIfTrue="1">
      <formula>AM$20="CYA"</formula>
    </cfRule>
  </conditionalFormatting>
  <conditionalFormatting sqref="AN64">
    <cfRule type="expression" dxfId="901" priority="4407" stopIfTrue="1">
      <formula>AN$20="CYA"</formula>
    </cfRule>
  </conditionalFormatting>
  <conditionalFormatting sqref="W65">
    <cfRule type="expression" dxfId="900" priority="4406" stopIfTrue="1">
      <formula>W$20="CYA"</formula>
    </cfRule>
  </conditionalFormatting>
  <conditionalFormatting sqref="X65">
    <cfRule type="expression" dxfId="899" priority="4405" stopIfTrue="1">
      <formula>X$20="CYA"</formula>
    </cfRule>
  </conditionalFormatting>
  <conditionalFormatting sqref="Z83">
    <cfRule type="expression" dxfId="898" priority="4243" stopIfTrue="1">
      <formula>Z$20="CYA"</formula>
    </cfRule>
  </conditionalFormatting>
  <conditionalFormatting sqref="AA83">
    <cfRule type="expression" dxfId="897" priority="4242" stopIfTrue="1">
      <formula>AA$20="CYA"</formula>
    </cfRule>
  </conditionalFormatting>
  <conditionalFormatting sqref="AB83">
    <cfRule type="expression" dxfId="896" priority="4241" stopIfTrue="1">
      <formula>AB$20="CYA"</formula>
    </cfRule>
  </conditionalFormatting>
  <conditionalFormatting sqref="Y65">
    <cfRule type="expression" dxfId="895" priority="4404" stopIfTrue="1">
      <formula>Y$20="CYA"</formula>
    </cfRule>
  </conditionalFormatting>
  <conditionalFormatting sqref="Z65">
    <cfRule type="expression" dxfId="894" priority="4403" stopIfTrue="1">
      <formula>Z$20="CYA"</formula>
    </cfRule>
  </conditionalFormatting>
  <conditionalFormatting sqref="AA65">
    <cfRule type="expression" dxfId="893" priority="4402" stopIfTrue="1">
      <formula>AA$20="CYA"</formula>
    </cfRule>
  </conditionalFormatting>
  <conditionalFormatting sqref="AB65">
    <cfRule type="expression" dxfId="892" priority="4401" stopIfTrue="1">
      <formula>AB$20="CYA"</formula>
    </cfRule>
  </conditionalFormatting>
  <conditionalFormatting sqref="AE71">
    <cfRule type="expression" dxfId="891" priority="4362" stopIfTrue="1">
      <formula>AE$20="CYA"</formula>
    </cfRule>
  </conditionalFormatting>
  <conditionalFormatting sqref="AF71">
    <cfRule type="expression" dxfId="890" priority="4361" stopIfTrue="1">
      <formula>AF$20="CYA"</formula>
    </cfRule>
  </conditionalFormatting>
  <conditionalFormatting sqref="AM88">
    <cfRule type="expression" dxfId="889" priority="4195" stopIfTrue="1">
      <formula>AM$20="CYA"</formula>
    </cfRule>
  </conditionalFormatting>
  <conditionalFormatting sqref="AN88">
    <cfRule type="expression" dxfId="888" priority="4194" stopIfTrue="1">
      <formula>AN$20="CYA"</formula>
    </cfRule>
  </conditionalFormatting>
  <conditionalFormatting sqref="AD71">
    <cfRule type="expression" dxfId="887" priority="4363" stopIfTrue="1">
      <formula>AD$20="CYA"</formula>
    </cfRule>
  </conditionalFormatting>
  <conditionalFormatting sqref="AI71">
    <cfRule type="expression" dxfId="886" priority="4358" stopIfTrue="1">
      <formula>AI$20="CYA"</formula>
    </cfRule>
  </conditionalFormatting>
  <conditionalFormatting sqref="AJ71">
    <cfRule type="expression" dxfId="885" priority="4357" stopIfTrue="1">
      <formula>AJ$20="CYA"</formula>
    </cfRule>
  </conditionalFormatting>
  <conditionalFormatting sqref="AK71">
    <cfRule type="expression" dxfId="884" priority="4356" stopIfTrue="1">
      <formula>AK$20="CYA"</formula>
    </cfRule>
  </conditionalFormatting>
  <conditionalFormatting sqref="AL71">
    <cfRule type="expression" dxfId="883" priority="4355" stopIfTrue="1">
      <formula>AL$20="CYA"</formula>
    </cfRule>
  </conditionalFormatting>
  <conditionalFormatting sqref="W89">
    <cfRule type="expression" dxfId="882" priority="4193" stopIfTrue="1">
      <formula>W$20="CYA"</formula>
    </cfRule>
  </conditionalFormatting>
  <conditionalFormatting sqref="X89">
    <cfRule type="expression" dxfId="881" priority="4192" stopIfTrue="1">
      <formula>X$20="CYA"</formula>
    </cfRule>
  </conditionalFormatting>
  <conditionalFormatting sqref="Y89">
    <cfRule type="expression" dxfId="880" priority="4191" stopIfTrue="1">
      <formula>Y$20="CYA"</formula>
    </cfRule>
  </conditionalFormatting>
  <conditionalFormatting sqref="Z89">
    <cfRule type="expression" dxfId="879" priority="4190" stopIfTrue="1">
      <formula>Z$20="CYA"</formula>
    </cfRule>
  </conditionalFormatting>
  <conditionalFormatting sqref="AG71">
    <cfRule type="expression" dxfId="878" priority="4360" stopIfTrue="1">
      <formula>AG$20="CYA"</formula>
    </cfRule>
  </conditionalFormatting>
  <conditionalFormatting sqref="AH71">
    <cfRule type="expression" dxfId="877" priority="4359" stopIfTrue="1">
      <formula>AH$20="CYA"</formula>
    </cfRule>
  </conditionalFormatting>
  <conditionalFormatting sqref="AA89">
    <cfRule type="expression" dxfId="876" priority="4189" stopIfTrue="1">
      <formula>AA$20="CYA"</formula>
    </cfRule>
  </conditionalFormatting>
  <conditionalFormatting sqref="AB89">
    <cfRule type="expression" dxfId="875" priority="4188" stopIfTrue="1">
      <formula>AB$20="CYA"</formula>
    </cfRule>
  </conditionalFormatting>
  <conditionalFormatting sqref="AB72">
    <cfRule type="expression" dxfId="874" priority="4348" stopIfTrue="1">
      <formula>AB$20="CYA"</formula>
    </cfRule>
  </conditionalFormatting>
  <conditionalFormatting sqref="AC72">
    <cfRule type="expression" dxfId="873" priority="4347" stopIfTrue="1">
      <formula>AC$20="CYA"</formula>
    </cfRule>
  </conditionalFormatting>
  <conditionalFormatting sqref="AM71">
    <cfRule type="expression" dxfId="872" priority="4354" stopIfTrue="1">
      <formula>AM$20="CYA"</formula>
    </cfRule>
  </conditionalFormatting>
  <conditionalFormatting sqref="AN71">
    <cfRule type="expression" dxfId="871" priority="4353" stopIfTrue="1">
      <formula>AN$20="CYA"</formula>
    </cfRule>
  </conditionalFormatting>
  <conditionalFormatting sqref="X72">
    <cfRule type="expression" dxfId="870" priority="4352" stopIfTrue="1">
      <formula>X$20="CYA"</formula>
    </cfRule>
  </conditionalFormatting>
  <conditionalFormatting sqref="Y72">
    <cfRule type="expression" dxfId="869" priority="4351" stopIfTrue="1">
      <formula>Y$20="CYA"</formula>
    </cfRule>
  </conditionalFormatting>
  <conditionalFormatting sqref="Z72">
    <cfRule type="expression" dxfId="868" priority="4350" stopIfTrue="1">
      <formula>Z$20="CYA"</formula>
    </cfRule>
  </conditionalFormatting>
  <conditionalFormatting sqref="AA72">
    <cfRule type="expression" dxfId="867" priority="4349" stopIfTrue="1">
      <formula>AA$20="CYA"</formula>
    </cfRule>
  </conditionalFormatting>
  <conditionalFormatting sqref="AD72">
    <cfRule type="expression" dxfId="866" priority="4346" stopIfTrue="1">
      <formula>AD$20="CYA"</formula>
    </cfRule>
  </conditionalFormatting>
  <conditionalFormatting sqref="AE72">
    <cfRule type="expression" dxfId="865" priority="4345" stopIfTrue="1">
      <formula>AE$20="CYA"</formula>
    </cfRule>
  </conditionalFormatting>
  <conditionalFormatting sqref="AF72">
    <cfRule type="expression" dxfId="864" priority="4344" stopIfTrue="1">
      <formula>AF$20="CYA"</formula>
    </cfRule>
  </conditionalFormatting>
  <conditionalFormatting sqref="AG72">
    <cfRule type="expression" dxfId="863" priority="4343" stopIfTrue="1">
      <formula>AG$20="CYA"</formula>
    </cfRule>
  </conditionalFormatting>
  <conditionalFormatting sqref="AH72">
    <cfRule type="expression" dxfId="862" priority="4342" stopIfTrue="1">
      <formula>AH$20="CYA"</formula>
    </cfRule>
  </conditionalFormatting>
  <conditionalFormatting sqref="AI72">
    <cfRule type="expression" dxfId="861" priority="4341" stopIfTrue="1">
      <formula>AI$20="CYA"</formula>
    </cfRule>
  </conditionalFormatting>
  <conditionalFormatting sqref="AJ72">
    <cfRule type="expression" dxfId="860" priority="4340" stopIfTrue="1">
      <formula>AJ$20="CYA"</formula>
    </cfRule>
  </conditionalFormatting>
  <conditionalFormatting sqref="AK72">
    <cfRule type="expression" dxfId="859" priority="4339" stopIfTrue="1">
      <formula>AK$20="CYA"</formula>
    </cfRule>
  </conditionalFormatting>
  <conditionalFormatting sqref="AL72">
    <cfRule type="expression" dxfId="858" priority="4338" stopIfTrue="1">
      <formula>AL$20="CYA"</formula>
    </cfRule>
  </conditionalFormatting>
  <conditionalFormatting sqref="AM72">
    <cfRule type="expression" dxfId="857" priority="4337" stopIfTrue="1">
      <formula>AM$20="CYA"</formula>
    </cfRule>
  </conditionalFormatting>
  <conditionalFormatting sqref="X91">
    <cfRule type="expression" dxfId="856" priority="4174" stopIfTrue="1">
      <formula>X$20="CYA"</formula>
    </cfRule>
  </conditionalFormatting>
  <conditionalFormatting sqref="Y91">
    <cfRule type="expression" dxfId="855" priority="4173" stopIfTrue="1">
      <formula>Y$20="CYA"</formula>
    </cfRule>
  </conditionalFormatting>
  <conditionalFormatting sqref="Z91">
    <cfRule type="expression" dxfId="854" priority="4172" stopIfTrue="1">
      <formula>Z$20="CYA"</formula>
    </cfRule>
  </conditionalFormatting>
  <conditionalFormatting sqref="AA91">
    <cfRule type="expression" dxfId="853" priority="4171" stopIfTrue="1">
      <formula>AA$20="CYA"</formula>
    </cfRule>
  </conditionalFormatting>
  <conditionalFormatting sqref="AB91">
    <cfRule type="expression" dxfId="852" priority="4170" stopIfTrue="1">
      <formula>AB$20="CYA"</formula>
    </cfRule>
  </conditionalFormatting>
  <conditionalFormatting sqref="AN72">
    <cfRule type="expression" dxfId="851" priority="4336" stopIfTrue="1">
      <formula>AN$20="CYA"</formula>
    </cfRule>
  </conditionalFormatting>
  <conditionalFormatting sqref="W73">
    <cfRule type="expression" dxfId="850" priority="4335" stopIfTrue="1">
      <formula>W$20="CYA"</formula>
    </cfRule>
  </conditionalFormatting>
  <conditionalFormatting sqref="X73">
    <cfRule type="expression" dxfId="849" priority="4334" stopIfTrue="1">
      <formula>X$20="CYA"</formula>
    </cfRule>
  </conditionalFormatting>
  <conditionalFormatting sqref="Y73">
    <cfRule type="expression" dxfId="848" priority="4333" stopIfTrue="1">
      <formula>Y$20="CYA"</formula>
    </cfRule>
  </conditionalFormatting>
  <conditionalFormatting sqref="Z73">
    <cfRule type="expression" dxfId="847" priority="4332" stopIfTrue="1">
      <formula>Z$20="CYA"</formula>
    </cfRule>
  </conditionalFormatting>
  <conditionalFormatting sqref="AA73">
    <cfRule type="expression" dxfId="846" priority="4331" stopIfTrue="1">
      <formula>AA$20="CYA"</formula>
    </cfRule>
  </conditionalFormatting>
  <conditionalFormatting sqref="AB73">
    <cfRule type="expression" dxfId="845" priority="4330" stopIfTrue="1">
      <formula>AB$20="CYA"</formula>
    </cfRule>
  </conditionalFormatting>
  <conditionalFormatting sqref="X75">
    <cfRule type="expression" dxfId="844" priority="4316" stopIfTrue="1">
      <formula>X$20="CYA"</formula>
    </cfRule>
  </conditionalFormatting>
  <conditionalFormatting sqref="Y75">
    <cfRule type="expression" dxfId="843" priority="4315" stopIfTrue="1">
      <formula>Y$20="CYA"</formula>
    </cfRule>
  </conditionalFormatting>
  <conditionalFormatting sqref="Z75">
    <cfRule type="expression" dxfId="842" priority="4314" stopIfTrue="1">
      <formula>Z$20="CYA"</formula>
    </cfRule>
  </conditionalFormatting>
  <conditionalFormatting sqref="Z101">
    <cfRule type="expression" dxfId="841" priority="4154" stopIfTrue="1">
      <formula>Z$20="CYA"</formula>
    </cfRule>
  </conditionalFormatting>
  <conditionalFormatting sqref="AA101">
    <cfRule type="expression" dxfId="840" priority="4153" stopIfTrue="1">
      <formula>AA$20="CYA"</formula>
    </cfRule>
  </conditionalFormatting>
  <conditionalFormatting sqref="AB101">
    <cfRule type="expression" dxfId="839" priority="4152" stopIfTrue="1">
      <formula>AB$20="CYA"</formula>
    </cfRule>
  </conditionalFormatting>
  <conditionalFormatting sqref="AC101">
    <cfRule type="expression" dxfId="838" priority="4151" stopIfTrue="1">
      <formula>AC$20="CYA"</formula>
    </cfRule>
  </conditionalFormatting>
  <conditionalFormatting sqref="AD101">
    <cfRule type="expression" dxfId="837" priority="4150" stopIfTrue="1">
      <formula>AD$20="CYA"</formula>
    </cfRule>
  </conditionalFormatting>
  <conditionalFormatting sqref="AE101">
    <cfRule type="expression" dxfId="836" priority="4149" stopIfTrue="1">
      <formula>AE$20="CYA"</formula>
    </cfRule>
  </conditionalFormatting>
  <conditionalFormatting sqref="AF101">
    <cfRule type="expression" dxfId="835" priority="4148" stopIfTrue="1">
      <formula>AF$20="CYA"</formula>
    </cfRule>
  </conditionalFormatting>
  <conditionalFormatting sqref="AG101">
    <cfRule type="expression" dxfId="834" priority="4147" stopIfTrue="1">
      <formula>AG$20="CYA"</formula>
    </cfRule>
  </conditionalFormatting>
  <conditionalFormatting sqref="AH101">
    <cfRule type="expression" dxfId="833" priority="4146" stopIfTrue="1">
      <formula>AH$20="CYA"</formula>
    </cfRule>
  </conditionalFormatting>
  <conditionalFormatting sqref="AI101">
    <cfRule type="expression" dxfId="832" priority="4145" stopIfTrue="1">
      <formula>AI$20="CYA"</formula>
    </cfRule>
  </conditionalFormatting>
  <conditionalFormatting sqref="AJ101">
    <cfRule type="expression" dxfId="831" priority="4144" stopIfTrue="1">
      <formula>AJ$20="CYA"</formula>
    </cfRule>
  </conditionalFormatting>
  <conditionalFormatting sqref="AK101">
    <cfRule type="expression" dxfId="830" priority="4143" stopIfTrue="1">
      <formula>AK$20="CYA"</formula>
    </cfRule>
  </conditionalFormatting>
  <conditionalFormatting sqref="W79">
    <cfRule type="expression" dxfId="829" priority="4299" stopIfTrue="1">
      <formula>W$20="CYA"</formula>
    </cfRule>
  </conditionalFormatting>
  <conditionalFormatting sqref="X79">
    <cfRule type="expression" dxfId="828" priority="4298" stopIfTrue="1">
      <formula>X$20="CYA"</formula>
    </cfRule>
  </conditionalFormatting>
  <conditionalFormatting sqref="Y79">
    <cfRule type="expression" dxfId="827" priority="4297" stopIfTrue="1">
      <formula>Y$20="CYA"</formula>
    </cfRule>
  </conditionalFormatting>
  <conditionalFormatting sqref="Z79">
    <cfRule type="expression" dxfId="826" priority="4296" stopIfTrue="1">
      <formula>Z$20="CYA"</formula>
    </cfRule>
  </conditionalFormatting>
  <conditionalFormatting sqref="AA79">
    <cfRule type="expression" dxfId="825" priority="4295" stopIfTrue="1">
      <formula>AA$20="CYA"</formula>
    </cfRule>
  </conditionalFormatting>
  <conditionalFormatting sqref="AB79">
    <cfRule type="expression" dxfId="824" priority="4294" stopIfTrue="1">
      <formula>AB$20="CYA"</formula>
    </cfRule>
  </conditionalFormatting>
  <conditionalFormatting sqref="AC79">
    <cfRule type="expression" dxfId="823" priority="4293" stopIfTrue="1">
      <formula>AC$20="CYA"</formula>
    </cfRule>
  </conditionalFormatting>
  <conditionalFormatting sqref="AD79">
    <cfRule type="expression" dxfId="822" priority="4292" stopIfTrue="1">
      <formula>AD$20="CYA"</formula>
    </cfRule>
  </conditionalFormatting>
  <conditionalFormatting sqref="AE79">
    <cfRule type="expression" dxfId="821" priority="4291" stopIfTrue="1">
      <formula>AE$20="CYA"</formula>
    </cfRule>
  </conditionalFormatting>
  <conditionalFormatting sqref="AF79">
    <cfRule type="expression" dxfId="820" priority="4290" stopIfTrue="1">
      <formula>AF$20="CYA"</formula>
    </cfRule>
  </conditionalFormatting>
  <conditionalFormatting sqref="AG79">
    <cfRule type="expression" dxfId="819" priority="4289" stopIfTrue="1">
      <formula>AG$20="CYA"</formula>
    </cfRule>
  </conditionalFormatting>
  <conditionalFormatting sqref="AH79">
    <cfRule type="expression" dxfId="818" priority="4288" stopIfTrue="1">
      <formula>AH$20="CYA"</formula>
    </cfRule>
  </conditionalFormatting>
  <conditionalFormatting sqref="AI79">
    <cfRule type="expression" dxfId="817" priority="4287" stopIfTrue="1">
      <formula>AI$20="CYA"</formula>
    </cfRule>
  </conditionalFormatting>
  <conditionalFormatting sqref="AJ79">
    <cfRule type="expression" dxfId="816" priority="4286" stopIfTrue="1">
      <formula>AJ$20="CYA"</formula>
    </cfRule>
  </conditionalFormatting>
  <conditionalFormatting sqref="AK79">
    <cfRule type="expression" dxfId="815" priority="4285" stopIfTrue="1">
      <formula>AK$20="CYA"</formula>
    </cfRule>
  </conditionalFormatting>
  <conditionalFormatting sqref="AL79">
    <cfRule type="expression" dxfId="814" priority="4284" stopIfTrue="1">
      <formula>AL$20="CYA"</formula>
    </cfRule>
  </conditionalFormatting>
  <conditionalFormatting sqref="AM79">
    <cfRule type="expression" dxfId="813" priority="4283" stopIfTrue="1">
      <formula>AM$20="CYA"</formula>
    </cfRule>
  </conditionalFormatting>
  <conditionalFormatting sqref="AN79">
    <cfRule type="expression" dxfId="812" priority="4282" stopIfTrue="1">
      <formula>AN$20="CYA"</formula>
    </cfRule>
  </conditionalFormatting>
  <conditionalFormatting sqref="X80">
    <cfRule type="expression" dxfId="811" priority="4281" stopIfTrue="1">
      <formula>X$20="CYA"</formula>
    </cfRule>
  </conditionalFormatting>
  <conditionalFormatting sqref="Y80">
    <cfRule type="expression" dxfId="810" priority="4280" stopIfTrue="1">
      <formula>Y$20="CYA"</formula>
    </cfRule>
  </conditionalFormatting>
  <conditionalFormatting sqref="Z80">
    <cfRule type="expression" dxfId="809" priority="4279" stopIfTrue="1">
      <formula>Z$20="CYA"</formula>
    </cfRule>
  </conditionalFormatting>
  <conditionalFormatting sqref="AA80">
    <cfRule type="expression" dxfId="808" priority="4278" stopIfTrue="1">
      <formula>AA$20="CYA"</formula>
    </cfRule>
  </conditionalFormatting>
  <conditionalFormatting sqref="AB80">
    <cfRule type="expression" dxfId="807" priority="4277" stopIfTrue="1">
      <formula>AB$20="CYA"</formula>
    </cfRule>
  </conditionalFormatting>
  <conditionalFormatting sqref="AC80">
    <cfRule type="expression" dxfId="806" priority="4276" stopIfTrue="1">
      <formula>AC$20="CYA"</formula>
    </cfRule>
  </conditionalFormatting>
  <conditionalFormatting sqref="AD80">
    <cfRule type="expression" dxfId="805" priority="4275" stopIfTrue="1">
      <formula>AD$20="CYA"</formula>
    </cfRule>
  </conditionalFormatting>
  <conditionalFormatting sqref="AE80">
    <cfRule type="expression" dxfId="804" priority="4274" stopIfTrue="1">
      <formula>AE$20="CYA"</formula>
    </cfRule>
  </conditionalFormatting>
  <conditionalFormatting sqref="AF80">
    <cfRule type="expression" dxfId="803" priority="4273" stopIfTrue="1">
      <formula>AF$20="CYA"</formula>
    </cfRule>
  </conditionalFormatting>
  <conditionalFormatting sqref="AG80">
    <cfRule type="expression" dxfId="802" priority="4272" stopIfTrue="1">
      <formula>AG$20="CYA"</formula>
    </cfRule>
  </conditionalFormatting>
  <conditionalFormatting sqref="AH80">
    <cfRule type="expression" dxfId="801" priority="4271" stopIfTrue="1">
      <formula>AH$20="CYA"</formula>
    </cfRule>
  </conditionalFormatting>
  <conditionalFormatting sqref="AI80">
    <cfRule type="expression" dxfId="800" priority="4270" stopIfTrue="1">
      <formula>AI$20="CYA"</formula>
    </cfRule>
  </conditionalFormatting>
  <conditionalFormatting sqref="AJ80">
    <cfRule type="expression" dxfId="799" priority="4269" stopIfTrue="1">
      <formula>AJ$20="CYA"</formula>
    </cfRule>
  </conditionalFormatting>
  <conditionalFormatting sqref="AK80">
    <cfRule type="expression" dxfId="798" priority="4268" stopIfTrue="1">
      <formula>AK$20="CYA"</formula>
    </cfRule>
  </conditionalFormatting>
  <conditionalFormatting sqref="AL80">
    <cfRule type="expression" dxfId="797" priority="4267" stopIfTrue="1">
      <formula>AL$20="CYA"</formula>
    </cfRule>
  </conditionalFormatting>
  <conditionalFormatting sqref="AM80">
    <cfRule type="expression" dxfId="796" priority="4266" stopIfTrue="1">
      <formula>AM$20="CYA"</formula>
    </cfRule>
  </conditionalFormatting>
  <conditionalFormatting sqref="AN80">
    <cfRule type="expression" dxfId="795" priority="4265" stopIfTrue="1">
      <formula>AN$20="CYA"</formula>
    </cfRule>
  </conditionalFormatting>
  <conditionalFormatting sqref="W81">
    <cfRule type="expression" dxfId="794" priority="4264" stopIfTrue="1">
      <formula>W$20="CYA"</formula>
    </cfRule>
  </conditionalFormatting>
  <conditionalFormatting sqref="W120">
    <cfRule type="expression" dxfId="793" priority="4103" stopIfTrue="1">
      <formula>W$20="CYA"</formula>
    </cfRule>
  </conditionalFormatting>
  <conditionalFormatting sqref="X120">
    <cfRule type="expression" dxfId="792" priority="4102" stopIfTrue="1">
      <formula>X$20="CYA"</formula>
    </cfRule>
  </conditionalFormatting>
  <conditionalFormatting sqref="Y120">
    <cfRule type="expression" dxfId="791" priority="4101" stopIfTrue="1">
      <formula>Y$20="CYA"</formula>
    </cfRule>
  </conditionalFormatting>
  <conditionalFormatting sqref="Z120">
    <cfRule type="expression" dxfId="790" priority="4100" stopIfTrue="1">
      <formula>Z$20="CYA"</formula>
    </cfRule>
  </conditionalFormatting>
  <conditionalFormatting sqref="AA120">
    <cfRule type="expression" dxfId="789" priority="4099" stopIfTrue="1">
      <formula>AA$20="CYA"</formula>
    </cfRule>
  </conditionalFormatting>
  <conditionalFormatting sqref="AB120">
    <cfRule type="expression" dxfId="788" priority="4098" stopIfTrue="1">
      <formula>AB$20="CYA"</formula>
    </cfRule>
  </conditionalFormatting>
  <conditionalFormatting sqref="AC120">
    <cfRule type="expression" dxfId="787" priority="4097" stopIfTrue="1">
      <formula>AC$20="CYA"</formula>
    </cfRule>
  </conditionalFormatting>
  <conditionalFormatting sqref="AD120">
    <cfRule type="expression" dxfId="786" priority="4096" stopIfTrue="1">
      <formula>AD$20="CYA"</formula>
    </cfRule>
  </conditionalFormatting>
  <conditionalFormatting sqref="AK120">
    <cfRule type="expression" dxfId="785" priority="4089" stopIfTrue="1">
      <formula>AK$20="CYA"</formula>
    </cfRule>
  </conditionalFormatting>
  <conditionalFormatting sqref="AL120">
    <cfRule type="expression" dxfId="784" priority="4088" stopIfTrue="1">
      <formula>AL$20="CYA"</formula>
    </cfRule>
  </conditionalFormatting>
  <conditionalFormatting sqref="AM120">
    <cfRule type="expression" dxfId="783" priority="4087" stopIfTrue="1">
      <formula>AM$20="CYA"</formula>
    </cfRule>
  </conditionalFormatting>
  <conditionalFormatting sqref="AN120">
    <cfRule type="expression" dxfId="782" priority="4086" stopIfTrue="1">
      <formula>AN$20="CYA"</formula>
    </cfRule>
  </conditionalFormatting>
  <conditionalFormatting sqref="W121">
    <cfRule type="expression" dxfId="781" priority="4085" stopIfTrue="1">
      <formula>W$20="CYA"</formula>
    </cfRule>
  </conditionalFormatting>
  <conditionalFormatting sqref="X121">
    <cfRule type="expression" dxfId="780" priority="4084" stopIfTrue="1">
      <formula>X$20="CYA"</formula>
    </cfRule>
  </conditionalFormatting>
  <conditionalFormatting sqref="Y121">
    <cfRule type="expression" dxfId="779" priority="4083" stopIfTrue="1">
      <formula>Y$20="CYA"</formula>
    </cfRule>
  </conditionalFormatting>
  <conditionalFormatting sqref="Z121">
    <cfRule type="expression" dxfId="778" priority="4082" stopIfTrue="1">
      <formula>Z$20="CYA"</formula>
    </cfRule>
  </conditionalFormatting>
  <conditionalFormatting sqref="AA121">
    <cfRule type="expression" dxfId="777" priority="4081" stopIfTrue="1">
      <formula>AA$20="CYA"</formula>
    </cfRule>
  </conditionalFormatting>
  <conditionalFormatting sqref="AB121">
    <cfRule type="expression" dxfId="776" priority="4080" stopIfTrue="1">
      <formula>AB$20="CYA"</formula>
    </cfRule>
  </conditionalFormatting>
  <conditionalFormatting sqref="AC121">
    <cfRule type="expression" dxfId="775" priority="4079" stopIfTrue="1">
      <formula>AC$20="CYA"</formula>
    </cfRule>
  </conditionalFormatting>
  <conditionalFormatting sqref="AD121">
    <cfRule type="expression" dxfId="774" priority="4078" stopIfTrue="1">
      <formula>AD$20="CYA"</formula>
    </cfRule>
  </conditionalFormatting>
  <conditionalFormatting sqref="W87">
    <cfRule type="expression" dxfId="773" priority="4228" stopIfTrue="1">
      <formula>W$20="CYA"</formula>
    </cfRule>
  </conditionalFormatting>
  <conditionalFormatting sqref="X87">
    <cfRule type="expression" dxfId="772" priority="4227" stopIfTrue="1">
      <formula>X$20="CYA"</formula>
    </cfRule>
  </conditionalFormatting>
  <conditionalFormatting sqref="Y87">
    <cfRule type="expression" dxfId="771" priority="4226" stopIfTrue="1">
      <formula>Y$20="CYA"</formula>
    </cfRule>
  </conditionalFormatting>
  <conditionalFormatting sqref="Z87">
    <cfRule type="expression" dxfId="770" priority="4225" stopIfTrue="1">
      <formula>Z$20="CYA"</formula>
    </cfRule>
  </conditionalFormatting>
  <conditionalFormatting sqref="AA87">
    <cfRule type="expression" dxfId="769" priority="4224" stopIfTrue="1">
      <formula>AA$20="CYA"</formula>
    </cfRule>
  </conditionalFormatting>
  <conditionalFormatting sqref="AB87">
    <cfRule type="expression" dxfId="768" priority="4223" stopIfTrue="1">
      <formula>AB$20="CYA"</formula>
    </cfRule>
  </conditionalFormatting>
  <conditionalFormatting sqref="AC87">
    <cfRule type="expression" dxfId="767" priority="4222" stopIfTrue="1">
      <formula>AC$20="CYA"</formula>
    </cfRule>
  </conditionalFormatting>
  <conditionalFormatting sqref="AD87">
    <cfRule type="expression" dxfId="766" priority="4221" stopIfTrue="1">
      <formula>AD$20="CYA"</formula>
    </cfRule>
  </conditionalFormatting>
  <conditionalFormatting sqref="AE87">
    <cfRule type="expression" dxfId="765" priority="4220" stopIfTrue="1">
      <formula>AE$20="CYA"</formula>
    </cfRule>
  </conditionalFormatting>
  <conditionalFormatting sqref="AF87">
    <cfRule type="expression" dxfId="764" priority="4219" stopIfTrue="1">
      <formula>AF$20="CYA"</formula>
    </cfRule>
  </conditionalFormatting>
  <conditionalFormatting sqref="AG87">
    <cfRule type="expression" dxfId="763" priority="4218" stopIfTrue="1">
      <formula>AG$20="CYA"</formula>
    </cfRule>
  </conditionalFormatting>
  <conditionalFormatting sqref="AH87">
    <cfRule type="expression" dxfId="762" priority="4217" stopIfTrue="1">
      <formula>AH$20="CYA"</formula>
    </cfRule>
  </conditionalFormatting>
  <conditionalFormatting sqref="AI87">
    <cfRule type="expression" dxfId="761" priority="4216" stopIfTrue="1">
      <formula>AI$20="CYA"</formula>
    </cfRule>
  </conditionalFormatting>
  <conditionalFormatting sqref="AJ87">
    <cfRule type="expression" dxfId="760" priority="4215" stopIfTrue="1">
      <formula>AJ$20="CYA"</formula>
    </cfRule>
  </conditionalFormatting>
  <conditionalFormatting sqref="AK87">
    <cfRule type="expression" dxfId="759" priority="4214" stopIfTrue="1">
      <formula>AK$20="CYA"</formula>
    </cfRule>
  </conditionalFormatting>
  <conditionalFormatting sqref="AL87">
    <cfRule type="expression" dxfId="758" priority="4213" stopIfTrue="1">
      <formula>AL$20="CYA"</formula>
    </cfRule>
  </conditionalFormatting>
  <conditionalFormatting sqref="AM87">
    <cfRule type="expression" dxfId="757" priority="4212" stopIfTrue="1">
      <formula>AM$20="CYA"</formula>
    </cfRule>
  </conditionalFormatting>
  <conditionalFormatting sqref="AN87">
    <cfRule type="expression" dxfId="756" priority="4211" stopIfTrue="1">
      <formula>AN$20="CYA"</formula>
    </cfRule>
  </conditionalFormatting>
  <conditionalFormatting sqref="X88">
    <cfRule type="expression" dxfId="755" priority="4210" stopIfTrue="1">
      <formula>X$20="CYA"</formula>
    </cfRule>
  </conditionalFormatting>
  <conditionalFormatting sqref="Y88">
    <cfRule type="expression" dxfId="754" priority="4209" stopIfTrue="1">
      <formula>Y$20="CYA"</formula>
    </cfRule>
  </conditionalFormatting>
  <conditionalFormatting sqref="Z88">
    <cfRule type="expression" dxfId="753" priority="4208" stopIfTrue="1">
      <formula>Z$20="CYA"</formula>
    </cfRule>
  </conditionalFormatting>
  <conditionalFormatting sqref="AA88">
    <cfRule type="expression" dxfId="752" priority="4207" stopIfTrue="1">
      <formula>AA$20="CYA"</formula>
    </cfRule>
  </conditionalFormatting>
  <conditionalFormatting sqref="AB88">
    <cfRule type="expression" dxfId="751" priority="4206" stopIfTrue="1">
      <formula>AB$20="CYA"</formula>
    </cfRule>
  </conditionalFormatting>
  <conditionalFormatting sqref="AC88">
    <cfRule type="expression" dxfId="750" priority="4205" stopIfTrue="1">
      <formula>AC$20="CYA"</formula>
    </cfRule>
  </conditionalFormatting>
  <conditionalFormatting sqref="AD88">
    <cfRule type="expression" dxfId="749" priority="4204" stopIfTrue="1">
      <formula>AD$20="CYA"</formula>
    </cfRule>
  </conditionalFormatting>
  <conditionalFormatting sqref="AE88">
    <cfRule type="expression" dxfId="748" priority="4203" stopIfTrue="1">
      <formula>AE$20="CYA"</formula>
    </cfRule>
  </conditionalFormatting>
  <conditionalFormatting sqref="AF88">
    <cfRule type="expression" dxfId="747" priority="4202" stopIfTrue="1">
      <formula>AF$20="CYA"</formula>
    </cfRule>
  </conditionalFormatting>
  <conditionalFormatting sqref="AG88">
    <cfRule type="expression" dxfId="746" priority="4201" stopIfTrue="1">
      <formula>AG$20="CYA"</formula>
    </cfRule>
  </conditionalFormatting>
  <conditionalFormatting sqref="AH88">
    <cfRule type="expression" dxfId="745" priority="4200" stopIfTrue="1">
      <formula>AH$20="CYA"</formula>
    </cfRule>
  </conditionalFormatting>
  <conditionalFormatting sqref="AI88">
    <cfRule type="expression" dxfId="744" priority="4199" stopIfTrue="1">
      <formula>AI$20="CYA"</formula>
    </cfRule>
  </conditionalFormatting>
  <conditionalFormatting sqref="AJ88">
    <cfRule type="expression" dxfId="743" priority="4198" stopIfTrue="1">
      <formula>AJ$20="CYA"</formula>
    </cfRule>
  </conditionalFormatting>
  <conditionalFormatting sqref="AK88">
    <cfRule type="expression" dxfId="742" priority="4197" stopIfTrue="1">
      <formula>AK$20="CYA"</formula>
    </cfRule>
  </conditionalFormatting>
  <conditionalFormatting sqref="AL88">
    <cfRule type="expression" dxfId="741" priority="4196" stopIfTrue="1">
      <formula>AL$20="CYA"</formula>
    </cfRule>
  </conditionalFormatting>
  <conditionalFormatting sqref="W149">
    <cfRule type="expression" dxfId="740" priority="4031" stopIfTrue="1">
      <formula>W$20="CYA"</formula>
    </cfRule>
  </conditionalFormatting>
  <conditionalFormatting sqref="AD149">
    <cfRule type="expression" dxfId="739" priority="4024" stopIfTrue="1">
      <formula>AD$20="CYA"</formula>
    </cfRule>
  </conditionalFormatting>
  <conditionalFormatting sqref="AE149">
    <cfRule type="expression" dxfId="738" priority="4023" stopIfTrue="1">
      <formula>AE$20="CYA"</formula>
    </cfRule>
  </conditionalFormatting>
  <conditionalFormatting sqref="AF149">
    <cfRule type="expression" dxfId="737" priority="4022" stopIfTrue="1">
      <formula>AF$20="CYA"</formula>
    </cfRule>
  </conditionalFormatting>
  <conditionalFormatting sqref="AG149">
    <cfRule type="expression" dxfId="736" priority="4021" stopIfTrue="1">
      <formula>AG$20="CYA"</formula>
    </cfRule>
  </conditionalFormatting>
  <conditionalFormatting sqref="AH149">
    <cfRule type="expression" dxfId="735" priority="4020" stopIfTrue="1">
      <formula>AH$20="CYA"</formula>
    </cfRule>
  </conditionalFormatting>
  <conditionalFormatting sqref="AI149">
    <cfRule type="expression" dxfId="734" priority="4019" stopIfTrue="1">
      <formula>AI$20="CYA"</formula>
    </cfRule>
  </conditionalFormatting>
  <conditionalFormatting sqref="AJ149">
    <cfRule type="expression" dxfId="733" priority="4018" stopIfTrue="1">
      <formula>AJ$20="CYA"</formula>
    </cfRule>
  </conditionalFormatting>
  <conditionalFormatting sqref="AK149">
    <cfRule type="expression" dxfId="732" priority="4017" stopIfTrue="1">
      <formula>AK$20="CYA"</formula>
    </cfRule>
  </conditionalFormatting>
  <conditionalFormatting sqref="AL149">
    <cfRule type="expression" dxfId="731" priority="4016" stopIfTrue="1">
      <formula>AL$20="CYA"</formula>
    </cfRule>
  </conditionalFormatting>
  <conditionalFormatting sqref="AM149">
    <cfRule type="expression" dxfId="730" priority="4015" stopIfTrue="1">
      <formula>AM$20="CYA"</formula>
    </cfRule>
  </conditionalFormatting>
  <conditionalFormatting sqref="AN149">
    <cfRule type="expression" dxfId="729" priority="4014" stopIfTrue="1">
      <formula>AN$20="CYA"</formula>
    </cfRule>
  </conditionalFormatting>
  <conditionalFormatting sqref="W150">
    <cfRule type="expression" dxfId="728" priority="4013" stopIfTrue="1">
      <formula>W$20="CYA"</formula>
    </cfRule>
  </conditionalFormatting>
  <conditionalFormatting sqref="W101">
    <cfRule type="expression" dxfId="727" priority="4157" stopIfTrue="1">
      <formula>W$20="CYA"</formula>
    </cfRule>
  </conditionalFormatting>
  <conditionalFormatting sqref="X101">
    <cfRule type="expression" dxfId="726" priority="4156" stopIfTrue="1">
      <formula>X$20="CYA"</formula>
    </cfRule>
  </conditionalFormatting>
  <conditionalFormatting sqref="Y101">
    <cfRule type="expression" dxfId="725" priority="4155" stopIfTrue="1">
      <formula>Y$20="CYA"</formula>
    </cfRule>
  </conditionalFormatting>
  <conditionalFormatting sqref="AL101">
    <cfRule type="expression" dxfId="724" priority="4142" stopIfTrue="1">
      <formula>AL$20="CYA"</formula>
    </cfRule>
  </conditionalFormatting>
  <conditionalFormatting sqref="AM101">
    <cfRule type="expression" dxfId="723" priority="4141" stopIfTrue="1">
      <formula>AM$20="CYA"</formula>
    </cfRule>
  </conditionalFormatting>
  <conditionalFormatting sqref="AN101">
    <cfRule type="expression" dxfId="722" priority="4140" stopIfTrue="1">
      <formula>AN$20="CYA"</formula>
    </cfRule>
  </conditionalFormatting>
  <conditionalFormatting sqref="W102">
    <cfRule type="expression" dxfId="721" priority="4139" stopIfTrue="1">
      <formula>W$20="CYA"</formula>
    </cfRule>
  </conditionalFormatting>
  <conditionalFormatting sqref="X102">
    <cfRule type="expression" dxfId="720" priority="4138" stopIfTrue="1">
      <formula>X$20="CYA"</formula>
    </cfRule>
  </conditionalFormatting>
  <conditionalFormatting sqref="Y102">
    <cfRule type="expression" dxfId="719" priority="4137" stopIfTrue="1">
      <formula>Y$20="CYA"</formula>
    </cfRule>
  </conditionalFormatting>
  <conditionalFormatting sqref="Z102">
    <cfRule type="expression" dxfId="718" priority="4136" stopIfTrue="1">
      <formula>Z$20="CYA"</formula>
    </cfRule>
  </conditionalFormatting>
  <conditionalFormatting sqref="AA102">
    <cfRule type="expression" dxfId="717" priority="4135" stopIfTrue="1">
      <formula>AA$20="CYA"</formula>
    </cfRule>
  </conditionalFormatting>
  <conditionalFormatting sqref="AB102">
    <cfRule type="expression" dxfId="716" priority="4134" stopIfTrue="1">
      <formula>AB$20="CYA"</formula>
    </cfRule>
  </conditionalFormatting>
  <conditionalFormatting sqref="X151">
    <cfRule type="expression" dxfId="715" priority="3994" stopIfTrue="1">
      <formula>X$20="CYA"</formula>
    </cfRule>
  </conditionalFormatting>
  <conditionalFormatting sqref="Y151">
    <cfRule type="expression" dxfId="714" priority="3993" stopIfTrue="1">
      <formula>Y$20="CYA"</formula>
    </cfRule>
  </conditionalFormatting>
  <conditionalFormatting sqref="Z151">
    <cfRule type="expression" dxfId="713" priority="3992" stopIfTrue="1">
      <formula>Z$20="CYA"</formula>
    </cfRule>
  </conditionalFormatting>
  <conditionalFormatting sqref="AA151">
    <cfRule type="expression" dxfId="712" priority="3991" stopIfTrue="1">
      <formula>AA$20="CYA"</formula>
    </cfRule>
  </conditionalFormatting>
  <conditionalFormatting sqref="AB151">
    <cfRule type="expression" dxfId="711" priority="3990" stopIfTrue="1">
      <formula>AB$20="CYA"</formula>
    </cfRule>
  </conditionalFormatting>
  <conditionalFormatting sqref="W103">
    <cfRule type="expression" dxfId="710" priority="4121" stopIfTrue="1">
      <formula>W$20="CYA"</formula>
    </cfRule>
  </conditionalFormatting>
  <conditionalFormatting sqref="X103">
    <cfRule type="expression" dxfId="709" priority="4120" stopIfTrue="1">
      <formula>X$20="CYA"</formula>
    </cfRule>
  </conditionalFormatting>
  <conditionalFormatting sqref="Y103">
    <cfRule type="expression" dxfId="708" priority="4119" stopIfTrue="1">
      <formula>Y$20="CYA"</formula>
    </cfRule>
  </conditionalFormatting>
  <conditionalFormatting sqref="Z103">
    <cfRule type="expression" dxfId="707" priority="4118" stopIfTrue="1">
      <formula>Z$20="CYA"</formula>
    </cfRule>
  </conditionalFormatting>
  <conditionalFormatting sqref="AA103">
    <cfRule type="expression" dxfId="706" priority="4117" stopIfTrue="1">
      <formula>AA$20="CYA"</formula>
    </cfRule>
  </conditionalFormatting>
  <conditionalFormatting sqref="AB103">
    <cfRule type="expression" dxfId="705" priority="4116" stopIfTrue="1">
      <formula>AB$20="CYA"</formula>
    </cfRule>
  </conditionalFormatting>
  <conditionalFormatting sqref="X156">
    <cfRule type="expression" dxfId="704" priority="3976" stopIfTrue="1">
      <formula>X$20="CYA"</formula>
    </cfRule>
  </conditionalFormatting>
  <conditionalFormatting sqref="Y156">
    <cfRule type="expression" dxfId="703" priority="3975" stopIfTrue="1">
      <formula>Y$20="CYA"</formula>
    </cfRule>
  </conditionalFormatting>
  <conditionalFormatting sqref="AB156">
    <cfRule type="expression" dxfId="702" priority="3972" stopIfTrue="1">
      <formula>AB$20="CYA"</formula>
    </cfRule>
  </conditionalFormatting>
  <conditionalFormatting sqref="AC156">
    <cfRule type="expression" dxfId="701" priority="3971" stopIfTrue="1">
      <formula>AC$20="CYA"</formula>
    </cfRule>
  </conditionalFormatting>
  <conditionalFormatting sqref="AD156">
    <cfRule type="expression" dxfId="700" priority="3970" stopIfTrue="1">
      <formula>AD$20="CYA"</formula>
    </cfRule>
  </conditionalFormatting>
  <conditionalFormatting sqref="AE156">
    <cfRule type="expression" dxfId="699" priority="3969" stopIfTrue="1">
      <formula>AE$20="CYA"</formula>
    </cfRule>
  </conditionalFormatting>
  <conditionalFormatting sqref="AF156">
    <cfRule type="expression" dxfId="698" priority="3968" stopIfTrue="1">
      <formula>AF$20="CYA"</formula>
    </cfRule>
  </conditionalFormatting>
  <conditionalFormatting sqref="AG156">
    <cfRule type="expression" dxfId="697" priority="3967" stopIfTrue="1">
      <formula>AG$20="CYA"</formula>
    </cfRule>
  </conditionalFormatting>
  <conditionalFormatting sqref="AH156">
    <cfRule type="expression" dxfId="696" priority="3966" stopIfTrue="1">
      <formula>AH$20="CYA"</formula>
    </cfRule>
  </conditionalFormatting>
  <conditionalFormatting sqref="AI156">
    <cfRule type="expression" dxfId="695" priority="3965" stopIfTrue="1">
      <formula>AI$20="CYA"</formula>
    </cfRule>
  </conditionalFormatting>
  <conditionalFormatting sqref="AE120">
    <cfRule type="expression" dxfId="694" priority="4095" stopIfTrue="1">
      <formula>AE$20="CYA"</formula>
    </cfRule>
  </conditionalFormatting>
  <conditionalFormatting sqref="AF120">
    <cfRule type="expression" dxfId="693" priority="4094" stopIfTrue="1">
      <formula>AF$20="CYA"</formula>
    </cfRule>
  </conditionalFormatting>
  <conditionalFormatting sqref="AG120">
    <cfRule type="expression" dxfId="692" priority="4093" stopIfTrue="1">
      <formula>AG$20="CYA"</formula>
    </cfRule>
  </conditionalFormatting>
  <conditionalFormatting sqref="AH120">
    <cfRule type="expression" dxfId="691" priority="4092" stopIfTrue="1">
      <formula>AH$20="CYA"</formula>
    </cfRule>
  </conditionalFormatting>
  <conditionalFormatting sqref="AI120">
    <cfRule type="expression" dxfId="690" priority="4091" stopIfTrue="1">
      <formula>AI$20="CYA"</formula>
    </cfRule>
  </conditionalFormatting>
  <conditionalFormatting sqref="AJ120">
    <cfRule type="expression" dxfId="689" priority="4090" stopIfTrue="1">
      <formula>AJ$20="CYA"</formula>
    </cfRule>
  </conditionalFormatting>
  <conditionalFormatting sqref="AE121">
    <cfRule type="expression" dxfId="688" priority="4077" stopIfTrue="1">
      <formula>AE$20="CYA"</formula>
    </cfRule>
  </conditionalFormatting>
  <conditionalFormatting sqref="AF121">
    <cfRule type="expression" dxfId="687" priority="4076" stopIfTrue="1">
      <formula>AF$20="CYA"</formula>
    </cfRule>
  </conditionalFormatting>
  <conditionalFormatting sqref="AG121">
    <cfRule type="expression" dxfId="686" priority="4075" stopIfTrue="1">
      <formula>AG$20="CYA"</formula>
    </cfRule>
  </conditionalFormatting>
  <conditionalFormatting sqref="AH121">
    <cfRule type="expression" dxfId="685" priority="4074" stopIfTrue="1">
      <formula>AH$20="CYA"</formula>
    </cfRule>
  </conditionalFormatting>
  <conditionalFormatting sqref="AI121">
    <cfRule type="expression" dxfId="684" priority="4073" stopIfTrue="1">
      <formula>AI$20="CYA"</formula>
    </cfRule>
  </conditionalFormatting>
  <conditionalFormatting sqref="AJ121">
    <cfRule type="expression" dxfId="683" priority="4072" stopIfTrue="1">
      <formula>AJ$20="CYA"</formula>
    </cfRule>
  </conditionalFormatting>
  <conditionalFormatting sqref="AK121">
    <cfRule type="expression" dxfId="682" priority="4071" stopIfTrue="1">
      <formula>AK$20="CYA"</formula>
    </cfRule>
  </conditionalFormatting>
  <conditionalFormatting sqref="AL121">
    <cfRule type="expression" dxfId="681" priority="4070" stopIfTrue="1">
      <formula>AL$20="CYA"</formula>
    </cfRule>
  </conditionalFormatting>
  <conditionalFormatting sqref="AM121">
    <cfRule type="expression" dxfId="680" priority="4069" stopIfTrue="1">
      <formula>AM$20="CYA"</formula>
    </cfRule>
  </conditionalFormatting>
  <conditionalFormatting sqref="AN121">
    <cfRule type="expression" dxfId="679" priority="4068" stopIfTrue="1">
      <formula>AN$20="CYA"</formula>
    </cfRule>
  </conditionalFormatting>
  <conditionalFormatting sqref="W122">
    <cfRule type="expression" dxfId="678" priority="4067" stopIfTrue="1">
      <formula>W$20="CYA"</formula>
    </cfRule>
  </conditionalFormatting>
  <conditionalFormatting sqref="X122">
    <cfRule type="expression" dxfId="677" priority="4066" stopIfTrue="1">
      <formula>X$20="CYA"</formula>
    </cfRule>
  </conditionalFormatting>
  <conditionalFormatting sqref="Y122">
    <cfRule type="expression" dxfId="676" priority="4065" stopIfTrue="1">
      <formula>Y$20="CYA"</formula>
    </cfRule>
  </conditionalFormatting>
  <conditionalFormatting sqref="Z122">
    <cfRule type="expression" dxfId="675" priority="4064" stopIfTrue="1">
      <formula>Z$20="CYA"</formula>
    </cfRule>
  </conditionalFormatting>
  <conditionalFormatting sqref="AA122">
    <cfRule type="expression" dxfId="674" priority="4063" stopIfTrue="1">
      <formula>AA$20="CYA"</formula>
    </cfRule>
  </conditionalFormatting>
  <conditionalFormatting sqref="AB122">
    <cfRule type="expression" dxfId="673" priority="4062" stopIfTrue="1">
      <formula>AB$20="CYA"</formula>
    </cfRule>
  </conditionalFormatting>
  <conditionalFormatting sqref="W162">
    <cfRule type="expression" dxfId="672" priority="3923" stopIfTrue="1">
      <formula>W$20="CYA"</formula>
    </cfRule>
  </conditionalFormatting>
  <conditionalFormatting sqref="X162">
    <cfRule type="expression" dxfId="671" priority="3922" stopIfTrue="1">
      <formula>X$20="CYA"</formula>
    </cfRule>
  </conditionalFormatting>
  <conditionalFormatting sqref="Y162">
    <cfRule type="expression" dxfId="670" priority="3921" stopIfTrue="1">
      <formula>Y$20="CYA"</formula>
    </cfRule>
  </conditionalFormatting>
  <conditionalFormatting sqref="Z162">
    <cfRule type="expression" dxfId="669" priority="3920" stopIfTrue="1">
      <formula>Z$20="CYA"</formula>
    </cfRule>
  </conditionalFormatting>
  <conditionalFormatting sqref="AA162">
    <cfRule type="expression" dxfId="668" priority="3919" stopIfTrue="1">
      <formula>AA$20="CYA"</formula>
    </cfRule>
  </conditionalFormatting>
  <conditionalFormatting sqref="W123">
    <cfRule type="expression" dxfId="667" priority="4049" stopIfTrue="1">
      <formula>W$20="CYA"</formula>
    </cfRule>
  </conditionalFormatting>
  <conditionalFormatting sqref="X123">
    <cfRule type="expression" dxfId="666" priority="4048" stopIfTrue="1">
      <formula>X$20="CYA"</formula>
    </cfRule>
  </conditionalFormatting>
  <conditionalFormatting sqref="Y123">
    <cfRule type="expression" dxfId="665" priority="4047" stopIfTrue="1">
      <formula>Y$20="CYA"</formula>
    </cfRule>
  </conditionalFormatting>
  <conditionalFormatting sqref="Z123">
    <cfRule type="expression" dxfId="664" priority="4046" stopIfTrue="1">
      <formula>Z$20="CYA"</formula>
    </cfRule>
  </conditionalFormatting>
  <conditionalFormatting sqref="AA123">
    <cfRule type="expression" dxfId="663" priority="4045" stopIfTrue="1">
      <formula>AA$20="CYA"</formula>
    </cfRule>
  </conditionalFormatting>
  <conditionalFormatting sqref="AB123">
    <cfRule type="expression" dxfId="662" priority="4044" stopIfTrue="1">
      <formula>AB$20="CYA"</formula>
    </cfRule>
  </conditionalFormatting>
  <conditionalFormatting sqref="AH162">
    <cfRule type="expression" dxfId="661" priority="3912" stopIfTrue="1">
      <formula>AH$20="CYA"</formula>
    </cfRule>
  </conditionalFormatting>
  <conditionalFormatting sqref="AI162">
    <cfRule type="expression" dxfId="660" priority="3911" stopIfTrue="1">
      <formula>AI$20="CYA"</formula>
    </cfRule>
  </conditionalFormatting>
  <conditionalFormatting sqref="AJ162">
    <cfRule type="expression" dxfId="659" priority="3910" stopIfTrue="1">
      <formula>AJ$20="CYA"</formula>
    </cfRule>
  </conditionalFormatting>
  <conditionalFormatting sqref="AK162">
    <cfRule type="expression" dxfId="658" priority="3909" stopIfTrue="1">
      <formula>AK$20="CYA"</formula>
    </cfRule>
  </conditionalFormatting>
  <conditionalFormatting sqref="AL162">
    <cfRule type="expression" dxfId="657" priority="3908" stopIfTrue="1">
      <formula>AL$20="CYA"</formula>
    </cfRule>
  </conditionalFormatting>
  <conditionalFormatting sqref="AM162">
    <cfRule type="expression" dxfId="656" priority="3907" stopIfTrue="1">
      <formula>AM$20="CYA"</formula>
    </cfRule>
  </conditionalFormatting>
  <conditionalFormatting sqref="AN162">
    <cfRule type="expression" dxfId="655" priority="3906" stopIfTrue="1">
      <formula>AN$20="CYA"</formula>
    </cfRule>
  </conditionalFormatting>
  <conditionalFormatting sqref="W163">
    <cfRule type="expression" dxfId="654" priority="3905" stopIfTrue="1">
      <formula>W$20="CYA"</formula>
    </cfRule>
  </conditionalFormatting>
  <conditionalFormatting sqref="X163">
    <cfRule type="expression" dxfId="653" priority="3904" stopIfTrue="1">
      <formula>X$20="CYA"</formula>
    </cfRule>
  </conditionalFormatting>
  <conditionalFormatting sqref="Y163">
    <cfRule type="expression" dxfId="652" priority="3903" stopIfTrue="1">
      <formula>Y$20="CYA"</formula>
    </cfRule>
  </conditionalFormatting>
  <conditionalFormatting sqref="Z163">
    <cfRule type="expression" dxfId="651" priority="3902" stopIfTrue="1">
      <formula>Z$20="CYA"</formula>
    </cfRule>
  </conditionalFormatting>
  <conditionalFormatting sqref="AA163">
    <cfRule type="expression" dxfId="650" priority="3901" stopIfTrue="1">
      <formula>AA$20="CYA"</formula>
    </cfRule>
  </conditionalFormatting>
  <conditionalFormatting sqref="X149">
    <cfRule type="expression" dxfId="649" priority="4030" stopIfTrue="1">
      <formula>X$20="CYA"</formula>
    </cfRule>
  </conditionalFormatting>
  <conditionalFormatting sqref="Y149">
    <cfRule type="expression" dxfId="648" priority="4029" stopIfTrue="1">
      <formula>Y$20="CYA"</formula>
    </cfRule>
  </conditionalFormatting>
  <conditionalFormatting sqref="Z149">
    <cfRule type="expression" dxfId="647" priority="4028" stopIfTrue="1">
      <formula>Z$20="CYA"</formula>
    </cfRule>
  </conditionalFormatting>
  <conditionalFormatting sqref="AA149">
    <cfRule type="expression" dxfId="646" priority="4027" stopIfTrue="1">
      <formula>AA$20="CYA"</formula>
    </cfRule>
  </conditionalFormatting>
  <conditionalFormatting sqref="AB149">
    <cfRule type="expression" dxfId="645" priority="4026" stopIfTrue="1">
      <formula>AB$20="CYA"</formula>
    </cfRule>
  </conditionalFormatting>
  <conditionalFormatting sqref="AC149">
    <cfRule type="expression" dxfId="644" priority="4025" stopIfTrue="1">
      <formula>AC$20="CYA"</formula>
    </cfRule>
  </conditionalFormatting>
  <conditionalFormatting sqref="X150">
    <cfRule type="expression" dxfId="643" priority="4012" stopIfTrue="1">
      <formula>X$20="CYA"</formula>
    </cfRule>
  </conditionalFormatting>
  <conditionalFormatting sqref="Y150">
    <cfRule type="expression" dxfId="642" priority="4011" stopIfTrue="1">
      <formula>Y$20="CYA"</formula>
    </cfRule>
  </conditionalFormatting>
  <conditionalFormatting sqref="Z150">
    <cfRule type="expression" dxfId="641" priority="4010" stopIfTrue="1">
      <formula>Z$20="CYA"</formula>
    </cfRule>
  </conditionalFormatting>
  <conditionalFormatting sqref="AA150">
    <cfRule type="expression" dxfId="640" priority="4009" stopIfTrue="1">
      <formula>AA$20="CYA"</formula>
    </cfRule>
  </conditionalFormatting>
  <conditionalFormatting sqref="AB150">
    <cfRule type="expression" dxfId="639" priority="4008" stopIfTrue="1">
      <formula>AB$20="CYA"</formula>
    </cfRule>
  </conditionalFormatting>
  <conditionalFormatting sqref="Z164">
    <cfRule type="expression" dxfId="638" priority="3884" stopIfTrue="1">
      <formula>Z$20="CYA"</formula>
    </cfRule>
  </conditionalFormatting>
  <conditionalFormatting sqref="AA164">
    <cfRule type="expression" dxfId="637" priority="3883" stopIfTrue="1">
      <formula>AA$20="CYA"</formula>
    </cfRule>
  </conditionalFormatting>
  <conditionalFormatting sqref="AB164">
    <cfRule type="expression" dxfId="636" priority="3882" stopIfTrue="1">
      <formula>AB$20="CYA"</formula>
    </cfRule>
  </conditionalFormatting>
  <conditionalFormatting sqref="W151">
    <cfRule type="expression" dxfId="635" priority="3995" stopIfTrue="1">
      <formula>W$20="CYA"</formula>
    </cfRule>
  </conditionalFormatting>
  <conditionalFormatting sqref="Z167">
    <cfRule type="expression" dxfId="634" priority="3866" stopIfTrue="1">
      <formula>Z$20="CYA"</formula>
    </cfRule>
  </conditionalFormatting>
  <conditionalFormatting sqref="AA167">
    <cfRule type="expression" dxfId="633" priority="3865" stopIfTrue="1">
      <formula>AA$20="CYA"</formula>
    </cfRule>
  </conditionalFormatting>
  <conditionalFormatting sqref="AB167">
    <cfRule type="expression" dxfId="632" priority="3864" stopIfTrue="1">
      <formula>AB$20="CYA"</formula>
    </cfRule>
  </conditionalFormatting>
  <conditionalFormatting sqref="AC167">
    <cfRule type="expression" dxfId="631" priority="3863" stopIfTrue="1">
      <formula>AC$20="CYA"</formula>
    </cfRule>
  </conditionalFormatting>
  <conditionalFormatting sqref="AD167">
    <cfRule type="expression" dxfId="630" priority="3862" stopIfTrue="1">
      <formula>AD$20="CYA"</formula>
    </cfRule>
  </conditionalFormatting>
  <conditionalFormatting sqref="AE167">
    <cfRule type="expression" dxfId="629" priority="3861" stopIfTrue="1">
      <formula>AE$20="CYA"</formula>
    </cfRule>
  </conditionalFormatting>
  <conditionalFormatting sqref="AF167">
    <cfRule type="expression" dxfId="628" priority="3860" stopIfTrue="1">
      <formula>AF$20="CYA"</formula>
    </cfRule>
  </conditionalFormatting>
  <conditionalFormatting sqref="AG167">
    <cfRule type="expression" dxfId="627" priority="3859" stopIfTrue="1">
      <formula>AG$20="CYA"</formula>
    </cfRule>
  </conditionalFormatting>
  <conditionalFormatting sqref="AH167">
    <cfRule type="expression" dxfId="626" priority="3858" stopIfTrue="1">
      <formula>AH$20="CYA"</formula>
    </cfRule>
  </conditionalFormatting>
  <conditionalFormatting sqref="AI167">
    <cfRule type="expression" dxfId="625" priority="3857" stopIfTrue="1">
      <formula>AI$20="CYA"</formula>
    </cfRule>
  </conditionalFormatting>
  <conditionalFormatting sqref="AJ167">
    <cfRule type="expression" dxfId="624" priority="3856" stopIfTrue="1">
      <formula>AJ$20="CYA"</formula>
    </cfRule>
  </conditionalFormatting>
  <conditionalFormatting sqref="AK167">
    <cfRule type="expression" dxfId="623" priority="3855" stopIfTrue="1">
      <formula>AK$20="CYA"</formula>
    </cfRule>
  </conditionalFormatting>
  <conditionalFormatting sqref="W156">
    <cfRule type="expression" dxfId="622" priority="3977" stopIfTrue="1">
      <formula>W$20="CYA"</formula>
    </cfRule>
  </conditionalFormatting>
  <conditionalFormatting sqref="AA158">
    <cfRule type="expression" dxfId="621" priority="3937" stopIfTrue="1">
      <formula>AA$20="CYA"</formula>
    </cfRule>
  </conditionalFormatting>
  <conditionalFormatting sqref="AB158">
    <cfRule type="expression" dxfId="620" priority="3936" stopIfTrue="1">
      <formula>AB$20="CYA"</formula>
    </cfRule>
  </conditionalFormatting>
  <conditionalFormatting sqref="AJ156">
    <cfRule type="expression" dxfId="619" priority="3964" stopIfTrue="1">
      <formula>AJ$20="CYA"</formula>
    </cfRule>
  </conditionalFormatting>
  <conditionalFormatting sqref="AK156">
    <cfRule type="expression" dxfId="618" priority="3963" stopIfTrue="1">
      <formula>AK$20="CYA"</formula>
    </cfRule>
  </conditionalFormatting>
  <conditionalFormatting sqref="AL156">
    <cfRule type="expression" dxfId="617" priority="3962" stopIfTrue="1">
      <formula>AL$20="CYA"</formula>
    </cfRule>
  </conditionalFormatting>
  <conditionalFormatting sqref="AM156">
    <cfRule type="expression" dxfId="616" priority="3961" stopIfTrue="1">
      <formula>AM$20="CYA"</formula>
    </cfRule>
  </conditionalFormatting>
  <conditionalFormatting sqref="AN156">
    <cfRule type="expression" dxfId="615" priority="3960" stopIfTrue="1">
      <formula>AN$20="CYA"</formula>
    </cfRule>
  </conditionalFormatting>
  <conditionalFormatting sqref="W157">
    <cfRule type="expression" dxfId="614" priority="3959" stopIfTrue="1">
      <formula>W$20="CYA"</formula>
    </cfRule>
  </conditionalFormatting>
  <conditionalFormatting sqref="X157">
    <cfRule type="expression" dxfId="613" priority="3958" stopIfTrue="1">
      <formula>X$20="CYA"</formula>
    </cfRule>
  </conditionalFormatting>
  <conditionalFormatting sqref="Y157">
    <cfRule type="expression" dxfId="612" priority="3957" stopIfTrue="1">
      <formula>Y$20="CYA"</formula>
    </cfRule>
  </conditionalFormatting>
  <conditionalFormatting sqref="Z157">
    <cfRule type="expression" dxfId="611" priority="3956" stopIfTrue="1">
      <formula>Z$20="CYA"</formula>
    </cfRule>
  </conditionalFormatting>
  <conditionalFormatting sqref="AA157">
    <cfRule type="expression" dxfId="610" priority="3955" stopIfTrue="1">
      <formula>AA$20="CYA"</formula>
    </cfRule>
  </conditionalFormatting>
  <conditionalFormatting sqref="AB157">
    <cfRule type="expression" dxfId="609" priority="3954" stopIfTrue="1">
      <formula>AB$20="CYA"</formula>
    </cfRule>
  </conditionalFormatting>
  <conditionalFormatting sqref="W169">
    <cfRule type="expression" dxfId="608" priority="3833" stopIfTrue="1">
      <formula>W$20="CYA"</formula>
    </cfRule>
  </conditionalFormatting>
  <conditionalFormatting sqref="X169">
    <cfRule type="expression" dxfId="607" priority="3832" stopIfTrue="1">
      <formula>X$20="CYA"</formula>
    </cfRule>
  </conditionalFormatting>
  <conditionalFormatting sqref="Y169">
    <cfRule type="expression" dxfId="606" priority="3831" stopIfTrue="1">
      <formula>Y$20="CYA"</formula>
    </cfRule>
  </conditionalFormatting>
  <conditionalFormatting sqref="Z169">
    <cfRule type="expression" dxfId="605" priority="3830" stopIfTrue="1">
      <formula>Z$20="CYA"</formula>
    </cfRule>
  </conditionalFormatting>
  <conditionalFormatting sqref="AA169">
    <cfRule type="expression" dxfId="604" priority="3829" stopIfTrue="1">
      <formula>AA$20="CYA"</formula>
    </cfRule>
  </conditionalFormatting>
  <conditionalFormatting sqref="AB169">
    <cfRule type="expression" dxfId="603" priority="3828" stopIfTrue="1">
      <formula>AB$20="CYA"</formula>
    </cfRule>
  </conditionalFormatting>
  <conditionalFormatting sqref="W158">
    <cfRule type="expression" dxfId="602" priority="3941" stopIfTrue="1">
      <formula>W$20="CYA"</formula>
    </cfRule>
  </conditionalFormatting>
  <conditionalFormatting sqref="X158">
    <cfRule type="expression" dxfId="601" priority="3940" stopIfTrue="1">
      <formula>X$20="CYA"</formula>
    </cfRule>
  </conditionalFormatting>
  <conditionalFormatting sqref="Y158">
    <cfRule type="expression" dxfId="600" priority="3939" stopIfTrue="1">
      <formula>Y$20="CYA"</formula>
    </cfRule>
  </conditionalFormatting>
  <conditionalFormatting sqref="Z158">
    <cfRule type="expression" dxfId="599" priority="3938" stopIfTrue="1">
      <formula>Z$20="CYA"</formula>
    </cfRule>
  </conditionalFormatting>
  <conditionalFormatting sqref="W172">
    <cfRule type="expression" dxfId="598" priority="3815" stopIfTrue="1">
      <formula>W$20="CYA"</formula>
    </cfRule>
  </conditionalFormatting>
  <conditionalFormatting sqref="X172">
    <cfRule type="expression" dxfId="597" priority="3814" stopIfTrue="1">
      <formula>X$20="CYA"</formula>
    </cfRule>
  </conditionalFormatting>
  <conditionalFormatting sqref="Y172">
    <cfRule type="expression" dxfId="596" priority="3813" stopIfTrue="1">
      <formula>Y$20="CYA"</formula>
    </cfRule>
  </conditionalFormatting>
  <conditionalFormatting sqref="Z172">
    <cfRule type="expression" dxfId="595" priority="3812" stopIfTrue="1">
      <formula>Z$20="CYA"</formula>
    </cfRule>
  </conditionalFormatting>
  <conditionalFormatting sqref="AA172">
    <cfRule type="expression" dxfId="594" priority="3811" stopIfTrue="1">
      <formula>AA$20="CYA"</formula>
    </cfRule>
  </conditionalFormatting>
  <conditionalFormatting sqref="AB172">
    <cfRule type="expression" dxfId="593" priority="3810" stopIfTrue="1">
      <formula>AB$20="CYA"</formula>
    </cfRule>
  </conditionalFormatting>
  <conditionalFormatting sqref="AC172">
    <cfRule type="expression" dxfId="592" priority="3809" stopIfTrue="1">
      <formula>AC$20="CYA"</formula>
    </cfRule>
  </conditionalFormatting>
  <conditionalFormatting sqref="AD172">
    <cfRule type="expression" dxfId="591" priority="3808" stopIfTrue="1">
      <formula>AD$20="CYA"</formula>
    </cfRule>
  </conditionalFormatting>
  <conditionalFormatting sqref="AE172">
    <cfRule type="expression" dxfId="590" priority="3807" stopIfTrue="1">
      <formula>AE$20="CYA"</formula>
    </cfRule>
  </conditionalFormatting>
  <conditionalFormatting sqref="AF172">
    <cfRule type="expression" dxfId="589" priority="3806" stopIfTrue="1">
      <formula>AF$20="CYA"</formula>
    </cfRule>
  </conditionalFormatting>
  <conditionalFormatting sqref="AG172">
    <cfRule type="expression" dxfId="588" priority="3805" stopIfTrue="1">
      <formula>AG$20="CYA"</formula>
    </cfRule>
  </conditionalFormatting>
  <conditionalFormatting sqref="AB162">
    <cfRule type="expression" dxfId="587" priority="3918" stopIfTrue="1">
      <formula>AB$20="CYA"</formula>
    </cfRule>
  </conditionalFormatting>
  <conditionalFormatting sqref="AC162">
    <cfRule type="expression" dxfId="586" priority="3917" stopIfTrue="1">
      <formula>AC$20="CYA"</formula>
    </cfRule>
  </conditionalFormatting>
  <conditionalFormatting sqref="AD162">
    <cfRule type="expression" dxfId="585" priority="3916" stopIfTrue="1">
      <formula>AD$20="CYA"</formula>
    </cfRule>
  </conditionalFormatting>
  <conditionalFormatting sqref="AE162">
    <cfRule type="expression" dxfId="584" priority="3915" stopIfTrue="1">
      <formula>AE$20="CYA"</formula>
    </cfRule>
  </conditionalFormatting>
  <conditionalFormatting sqref="AF162">
    <cfRule type="expression" dxfId="583" priority="3914" stopIfTrue="1">
      <formula>AF$20="CYA"</formula>
    </cfRule>
  </conditionalFormatting>
  <conditionalFormatting sqref="AG162">
    <cfRule type="expression" dxfId="582" priority="3913" stopIfTrue="1">
      <formula>AG$20="CYA"</formula>
    </cfRule>
  </conditionalFormatting>
  <conditionalFormatting sqref="AB163">
    <cfRule type="expression" dxfId="581" priority="3900" stopIfTrue="1">
      <formula>AB$20="CYA"</formula>
    </cfRule>
  </conditionalFormatting>
  <conditionalFormatting sqref="Z174">
    <cfRule type="expression" dxfId="580" priority="3776" stopIfTrue="1">
      <formula>Z$20="CYA"</formula>
    </cfRule>
  </conditionalFormatting>
  <conditionalFormatting sqref="AA174">
    <cfRule type="expression" dxfId="579" priority="3775" stopIfTrue="1">
      <formula>AA$20="CYA"</formula>
    </cfRule>
  </conditionalFormatting>
  <conditionalFormatting sqref="W174">
    <cfRule type="expression" dxfId="578" priority="3779" stopIfTrue="1">
      <formula>W$20="CYA"</formula>
    </cfRule>
  </conditionalFormatting>
  <conditionalFormatting sqref="X174">
    <cfRule type="expression" dxfId="577" priority="3778" stopIfTrue="1">
      <formula>X$20="CYA"</formula>
    </cfRule>
  </conditionalFormatting>
  <conditionalFormatting sqref="Y174">
    <cfRule type="expression" dxfId="576" priority="3777" stopIfTrue="1">
      <formula>Y$20="CYA"</formula>
    </cfRule>
  </conditionalFormatting>
  <conditionalFormatting sqref="AB180">
    <cfRule type="expression" dxfId="575" priority="3720" stopIfTrue="1">
      <formula>AB$20="CYA"</formula>
    </cfRule>
  </conditionalFormatting>
  <conditionalFormatting sqref="AB174">
    <cfRule type="expression" dxfId="574" priority="3774" stopIfTrue="1">
      <formula>AB$20="CYA"</formula>
    </cfRule>
  </conditionalFormatting>
  <conditionalFormatting sqref="W164">
    <cfRule type="expression" dxfId="573" priority="3887" stopIfTrue="1">
      <formula>W$20="CYA"</formula>
    </cfRule>
  </conditionalFormatting>
  <conditionalFormatting sqref="X164">
    <cfRule type="expression" dxfId="572" priority="3886" stopIfTrue="1">
      <formula>X$20="CYA"</formula>
    </cfRule>
  </conditionalFormatting>
  <conditionalFormatting sqref="Y164">
    <cfRule type="expression" dxfId="571" priority="3885" stopIfTrue="1">
      <formula>Y$20="CYA"</formula>
    </cfRule>
  </conditionalFormatting>
  <conditionalFormatting sqref="W178">
    <cfRule type="expression" dxfId="570" priority="3761" stopIfTrue="1">
      <formula>W$20="CYA"</formula>
    </cfRule>
  </conditionalFormatting>
  <conditionalFormatting sqref="X178">
    <cfRule type="expression" dxfId="569" priority="3760" stopIfTrue="1">
      <formula>X$20="CYA"</formula>
    </cfRule>
  </conditionalFormatting>
  <conditionalFormatting sqref="Y178">
    <cfRule type="expression" dxfId="568" priority="3759" stopIfTrue="1">
      <formula>Y$20="CYA"</formula>
    </cfRule>
  </conditionalFormatting>
  <conditionalFormatting sqref="Z178">
    <cfRule type="expression" dxfId="567" priority="3758" stopIfTrue="1">
      <formula>Z$20="CYA"</formula>
    </cfRule>
  </conditionalFormatting>
  <conditionalFormatting sqref="AA178">
    <cfRule type="expression" dxfId="566" priority="3757" stopIfTrue="1">
      <formula>AA$20="CYA"</formula>
    </cfRule>
  </conditionalFormatting>
  <conditionalFormatting sqref="AB178">
    <cfRule type="expression" dxfId="565" priority="3756" stopIfTrue="1">
      <formula>AB$20="CYA"</formula>
    </cfRule>
  </conditionalFormatting>
  <conditionalFormatting sqref="AC178">
    <cfRule type="expression" dxfId="564" priority="3755" stopIfTrue="1">
      <formula>AC$20="CYA"</formula>
    </cfRule>
  </conditionalFormatting>
  <conditionalFormatting sqref="W167">
    <cfRule type="expression" dxfId="563" priority="3869" stopIfTrue="1">
      <formula>W$20="CYA"</formula>
    </cfRule>
  </conditionalFormatting>
  <conditionalFormatting sqref="X167">
    <cfRule type="expression" dxfId="562" priority="3868" stopIfTrue="1">
      <formula>X$20="CYA"</formula>
    </cfRule>
  </conditionalFormatting>
  <conditionalFormatting sqref="Y167">
    <cfRule type="expression" dxfId="561" priority="3867" stopIfTrue="1">
      <formula>Y$20="CYA"</formula>
    </cfRule>
  </conditionalFormatting>
  <conditionalFormatting sqref="AL167">
    <cfRule type="expression" dxfId="560" priority="3854" stopIfTrue="1">
      <formula>AL$20="CYA"</formula>
    </cfRule>
  </conditionalFormatting>
  <conditionalFormatting sqref="AM167">
    <cfRule type="expression" dxfId="559" priority="3853" stopIfTrue="1">
      <formula>AM$20="CYA"</formula>
    </cfRule>
  </conditionalFormatting>
  <conditionalFormatting sqref="AN167">
    <cfRule type="expression" dxfId="558" priority="3852" stopIfTrue="1">
      <formula>AN$20="CYA"</formula>
    </cfRule>
  </conditionalFormatting>
  <conditionalFormatting sqref="W168">
    <cfRule type="expression" dxfId="557" priority="3851" stopIfTrue="1">
      <formula>W$20="CYA"</formula>
    </cfRule>
  </conditionalFormatting>
  <conditionalFormatting sqref="X168">
    <cfRule type="expression" dxfId="556" priority="3850" stopIfTrue="1">
      <formula>X$20="CYA"</formula>
    </cfRule>
  </conditionalFormatting>
  <conditionalFormatting sqref="Y168">
    <cfRule type="expression" dxfId="555" priority="3849" stopIfTrue="1">
      <formula>Y$20="CYA"</formula>
    </cfRule>
  </conditionalFormatting>
  <conditionalFormatting sqref="Z168">
    <cfRule type="expression" dxfId="554" priority="3848" stopIfTrue="1">
      <formula>Z$20="CYA"</formula>
    </cfRule>
  </conditionalFormatting>
  <conditionalFormatting sqref="AA168">
    <cfRule type="expression" dxfId="553" priority="3847" stopIfTrue="1">
      <formula>AA$20="CYA"</formula>
    </cfRule>
  </conditionalFormatting>
  <conditionalFormatting sqref="AB168">
    <cfRule type="expression" dxfId="552" priority="3846" stopIfTrue="1">
      <formula>AB$20="CYA"</formula>
    </cfRule>
  </conditionalFormatting>
  <conditionalFormatting sqref="W180">
    <cfRule type="expression" dxfId="551" priority="3725" stopIfTrue="1">
      <formula>W$20="CYA"</formula>
    </cfRule>
  </conditionalFormatting>
  <conditionalFormatting sqref="X180">
    <cfRule type="expression" dxfId="550" priority="3724" stopIfTrue="1">
      <formula>X$20="CYA"</formula>
    </cfRule>
  </conditionalFormatting>
  <conditionalFormatting sqref="Y180">
    <cfRule type="expression" dxfId="549" priority="3723" stopIfTrue="1">
      <formula>Y$20="CYA"</formula>
    </cfRule>
  </conditionalFormatting>
  <conditionalFormatting sqref="AA70">
    <cfRule type="expression" dxfId="548" priority="3707" stopIfTrue="1">
      <formula>AA$20="CYA"</formula>
    </cfRule>
  </conditionalFormatting>
  <conditionalFormatting sqref="AH172">
    <cfRule type="expression" dxfId="547" priority="3804" stopIfTrue="1">
      <formula>AH$20="CYA"</formula>
    </cfRule>
  </conditionalFormatting>
  <conditionalFormatting sqref="AI172">
    <cfRule type="expression" dxfId="546" priority="3803" stopIfTrue="1">
      <formula>AI$20="CYA"</formula>
    </cfRule>
  </conditionalFormatting>
  <conditionalFormatting sqref="AJ172">
    <cfRule type="expression" dxfId="545" priority="3802" stopIfTrue="1">
      <formula>AJ$20="CYA"</formula>
    </cfRule>
  </conditionalFormatting>
  <conditionalFormatting sqref="AK172">
    <cfRule type="expression" dxfId="544" priority="3801" stopIfTrue="1">
      <formula>AK$20="CYA"</formula>
    </cfRule>
  </conditionalFormatting>
  <conditionalFormatting sqref="AL172">
    <cfRule type="expression" dxfId="543" priority="3800" stopIfTrue="1">
      <formula>AL$20="CYA"</formula>
    </cfRule>
  </conditionalFormatting>
  <conditionalFormatting sqref="AM172">
    <cfRule type="expression" dxfId="542" priority="3799" stopIfTrue="1">
      <formula>AM$20="CYA"</formula>
    </cfRule>
  </conditionalFormatting>
  <conditionalFormatting sqref="AN172">
    <cfRule type="expression" dxfId="541" priority="3798" stopIfTrue="1">
      <formula>AN$20="CYA"</formula>
    </cfRule>
  </conditionalFormatting>
  <conditionalFormatting sqref="W173">
    <cfRule type="expression" dxfId="540" priority="3797" stopIfTrue="1">
      <formula>W$20="CYA"</formula>
    </cfRule>
  </conditionalFormatting>
  <conditionalFormatting sqref="X173">
    <cfRule type="expression" dxfId="539" priority="3796" stopIfTrue="1">
      <formula>X$20="CYA"</formula>
    </cfRule>
  </conditionalFormatting>
  <conditionalFormatting sqref="Y173">
    <cfRule type="expression" dxfId="538" priority="3795" stopIfTrue="1">
      <formula>Y$20="CYA"</formula>
    </cfRule>
  </conditionalFormatting>
  <conditionalFormatting sqref="Z173">
    <cfRule type="expression" dxfId="537" priority="3794" stopIfTrue="1">
      <formula>Z$20="CYA"</formula>
    </cfRule>
  </conditionalFormatting>
  <conditionalFormatting sqref="AA173">
    <cfRule type="expression" dxfId="536" priority="3793" stopIfTrue="1">
      <formula>AA$20="CYA"</formula>
    </cfRule>
  </conditionalFormatting>
  <conditionalFormatting sqref="AB173">
    <cfRule type="expression" dxfId="535" priority="3792" stopIfTrue="1">
      <formula>AB$20="CYA"</formula>
    </cfRule>
  </conditionalFormatting>
  <conditionalFormatting sqref="BK192">
    <cfRule type="expression" dxfId="534" priority="3684" stopIfTrue="1">
      <formula>BK$20="CYA"</formula>
    </cfRule>
  </conditionalFormatting>
  <conditionalFormatting sqref="BK197">
    <cfRule type="expression" dxfId="533" priority="3683" stopIfTrue="1">
      <formula>BK$20="CYA"</formula>
    </cfRule>
  </conditionalFormatting>
  <conditionalFormatting sqref="BK202">
    <cfRule type="expression" dxfId="532" priority="3682" stopIfTrue="1">
      <formula>BK$20="CYA"</formula>
    </cfRule>
  </conditionalFormatting>
  <conditionalFormatting sqref="BK207">
    <cfRule type="expression" dxfId="531" priority="3681" stopIfTrue="1">
      <formula>BK$20="CYA"</formula>
    </cfRule>
  </conditionalFormatting>
  <conditionalFormatting sqref="BK212">
    <cfRule type="expression" dxfId="530" priority="3680" stopIfTrue="1">
      <formula>BK$20="CYA"</formula>
    </cfRule>
  </conditionalFormatting>
  <conditionalFormatting sqref="BK217">
    <cfRule type="expression" dxfId="529" priority="3678" stopIfTrue="1">
      <formula>BK$20="CYA"</formula>
    </cfRule>
  </conditionalFormatting>
  <conditionalFormatting sqref="BK222">
    <cfRule type="expression" dxfId="528" priority="3677" stopIfTrue="1">
      <formula>BK$20="CYA"</formula>
    </cfRule>
  </conditionalFormatting>
  <conditionalFormatting sqref="BK227">
    <cfRule type="expression" dxfId="527" priority="3676" stopIfTrue="1">
      <formula>BK$20="CYA"</formula>
    </cfRule>
  </conditionalFormatting>
  <conditionalFormatting sqref="BK115">
    <cfRule type="expression" dxfId="526" priority="3675" stopIfTrue="1">
      <formula>BK$20="CYA"</formula>
    </cfRule>
  </conditionalFormatting>
  <conditionalFormatting sqref="BK240">
    <cfRule type="expression" dxfId="525" priority="3674" stopIfTrue="1">
      <formula>BK$20="CYA"</formula>
    </cfRule>
  </conditionalFormatting>
  <conditionalFormatting sqref="BK245">
    <cfRule type="expression" dxfId="524" priority="3673" stopIfTrue="1">
      <formula>BK$20="CYA"</formula>
    </cfRule>
  </conditionalFormatting>
  <conditionalFormatting sqref="AD178">
    <cfRule type="expression" dxfId="523" priority="3754" stopIfTrue="1">
      <formula>AD$20="CYA"</formula>
    </cfRule>
  </conditionalFormatting>
  <conditionalFormatting sqref="AE178">
    <cfRule type="expression" dxfId="522" priority="3753" stopIfTrue="1">
      <formula>AE$20="CYA"</formula>
    </cfRule>
  </conditionalFormatting>
  <conditionalFormatting sqref="AF178">
    <cfRule type="expression" dxfId="521" priority="3752" stopIfTrue="1">
      <formula>AF$20="CYA"</formula>
    </cfRule>
  </conditionalFormatting>
  <conditionalFormatting sqref="AG178">
    <cfRule type="expression" dxfId="520" priority="3751" stopIfTrue="1">
      <formula>AG$20="CYA"</formula>
    </cfRule>
  </conditionalFormatting>
  <conditionalFormatting sqref="AH178">
    <cfRule type="expression" dxfId="519" priority="3750" stopIfTrue="1">
      <formula>AH$20="CYA"</formula>
    </cfRule>
  </conditionalFormatting>
  <conditionalFormatting sqref="AI178">
    <cfRule type="expression" dxfId="518" priority="3749" stopIfTrue="1">
      <formula>AI$20="CYA"</formula>
    </cfRule>
  </conditionalFormatting>
  <conditionalFormatting sqref="AJ178">
    <cfRule type="expression" dxfId="517" priority="3748" stopIfTrue="1">
      <formula>AJ$20="CYA"</formula>
    </cfRule>
  </conditionalFormatting>
  <conditionalFormatting sqref="AK178">
    <cfRule type="expression" dxfId="516" priority="3747" stopIfTrue="1">
      <formula>AK$20="CYA"</formula>
    </cfRule>
  </conditionalFormatting>
  <conditionalFormatting sqref="AL178">
    <cfRule type="expression" dxfId="515" priority="3746" stopIfTrue="1">
      <formula>AL$20="CYA"</formula>
    </cfRule>
  </conditionalFormatting>
  <conditionalFormatting sqref="AM178">
    <cfRule type="expression" dxfId="514" priority="3745" stopIfTrue="1">
      <formula>AM$20="CYA"</formula>
    </cfRule>
  </conditionalFormatting>
  <conditionalFormatting sqref="AN178">
    <cfRule type="expression" dxfId="513" priority="3744" stopIfTrue="1">
      <formula>AN$20="CYA"</formula>
    </cfRule>
  </conditionalFormatting>
  <conditionalFormatting sqref="W179">
    <cfRule type="expression" dxfId="512" priority="3743" stopIfTrue="1">
      <formula>W$20="CYA"</formula>
    </cfRule>
  </conditionalFormatting>
  <conditionalFormatting sqref="X179">
    <cfRule type="expression" dxfId="511" priority="3742" stopIfTrue="1">
      <formula>X$20="CYA"</formula>
    </cfRule>
  </conditionalFormatting>
  <conditionalFormatting sqref="Y179">
    <cfRule type="expression" dxfId="510" priority="3741" stopIfTrue="1">
      <formula>Y$20="CYA"</formula>
    </cfRule>
  </conditionalFormatting>
  <conditionalFormatting sqref="Z179">
    <cfRule type="expression" dxfId="509" priority="3740" stopIfTrue="1">
      <formula>Z$20="CYA"</formula>
    </cfRule>
  </conditionalFormatting>
  <conditionalFormatting sqref="AA179">
    <cfRule type="expression" dxfId="508" priority="3739" stopIfTrue="1">
      <formula>AA$20="CYA"</formula>
    </cfRule>
  </conditionalFormatting>
  <conditionalFormatting sqref="AB179">
    <cfRule type="expression" dxfId="507" priority="3738" stopIfTrue="1">
      <formula>AB$20="CYA"</formula>
    </cfRule>
  </conditionalFormatting>
  <conditionalFormatting sqref="BK43">
    <cfRule type="expression" dxfId="506" priority="3634" stopIfTrue="1">
      <formula>BK$20="CYA"</formula>
    </cfRule>
  </conditionalFormatting>
  <conditionalFormatting sqref="Z180">
    <cfRule type="expression" dxfId="505" priority="3722" stopIfTrue="1">
      <formula>Z$20="CYA"</formula>
    </cfRule>
  </conditionalFormatting>
  <conditionalFormatting sqref="AA180">
    <cfRule type="expression" dxfId="504" priority="3721" stopIfTrue="1">
      <formula>AA$20="CYA"</formula>
    </cfRule>
  </conditionalFormatting>
  <conditionalFormatting sqref="BK91">
    <cfRule type="expression" dxfId="503" priority="3696" stopIfTrue="1">
      <formula>BK$20="CYA"</formula>
    </cfRule>
  </conditionalFormatting>
  <conditionalFormatting sqref="BK103">
    <cfRule type="expression" dxfId="502" priority="3695" stopIfTrue="1">
      <formula>BK$20="CYA"</formula>
    </cfRule>
  </conditionalFormatting>
  <conditionalFormatting sqref="BK123">
    <cfRule type="expression" dxfId="501" priority="3694" stopIfTrue="1">
      <formula>BK$20="CYA"</formula>
    </cfRule>
  </conditionalFormatting>
  <conditionalFormatting sqref="BK151">
    <cfRule type="expression" dxfId="500" priority="3693" stopIfTrue="1">
      <formula>BK$20="CYA"</formula>
    </cfRule>
  </conditionalFormatting>
  <conditionalFormatting sqref="BK158">
    <cfRule type="expression" dxfId="499" priority="3692" stopIfTrue="1">
      <formula>BK$20="CYA"</formula>
    </cfRule>
  </conditionalFormatting>
  <conditionalFormatting sqref="BK165">
    <cfRule type="expression" dxfId="498" priority="3691" stopIfTrue="1">
      <formula>BK$20="CYA"</formula>
    </cfRule>
  </conditionalFormatting>
  <conditionalFormatting sqref="BK164">
    <cfRule type="expression" dxfId="497" priority="3690" stopIfTrue="1">
      <formula>BK$20="CYA"</formula>
    </cfRule>
  </conditionalFormatting>
  <conditionalFormatting sqref="BK169">
    <cfRule type="expression" dxfId="496" priority="3689" stopIfTrue="1">
      <formula>BK$20="CYA"</formula>
    </cfRule>
  </conditionalFormatting>
  <conditionalFormatting sqref="BK174">
    <cfRule type="expression" dxfId="495" priority="3688" stopIfTrue="1">
      <formula>BK$20="CYA"</formula>
    </cfRule>
  </conditionalFormatting>
  <conditionalFormatting sqref="BK180">
    <cfRule type="expression" dxfId="494" priority="3687" stopIfTrue="1">
      <formula>BK$20="CYA"</formula>
    </cfRule>
  </conditionalFormatting>
  <conditionalFormatting sqref="BK187">
    <cfRule type="expression" dxfId="493" priority="3686" stopIfTrue="1">
      <formula>BK$20="CYA"</formula>
    </cfRule>
  </conditionalFormatting>
  <conditionalFormatting sqref="BK186">
    <cfRule type="expression" dxfId="492" priority="3685" stopIfTrue="1">
      <formula>BK$20="CYA"</formula>
    </cfRule>
  </conditionalFormatting>
  <conditionalFormatting sqref="BK250">
    <cfRule type="expression" dxfId="491" priority="3672" stopIfTrue="1">
      <formula>BK$20="CYA"</formula>
    </cfRule>
  </conditionalFormatting>
  <conditionalFormatting sqref="BK255">
    <cfRule type="expression" dxfId="490" priority="3671" stopIfTrue="1">
      <formula>BK$20="CYA"</formula>
    </cfRule>
  </conditionalFormatting>
  <conditionalFormatting sqref="BK260">
    <cfRule type="expression" dxfId="489" priority="3670" stopIfTrue="1">
      <formula>BK$20="CYA"</formula>
    </cfRule>
  </conditionalFormatting>
  <conditionalFormatting sqref="BK267">
    <cfRule type="expression" dxfId="488" priority="3669" stopIfTrue="1">
      <formula>BK$20="CYA"</formula>
    </cfRule>
  </conditionalFormatting>
  <conditionalFormatting sqref="BK83">
    <cfRule type="expression" dxfId="487" priority="3639" stopIfTrue="1">
      <formula>BK$20="CYA"</formula>
    </cfRule>
  </conditionalFormatting>
  <conditionalFormatting sqref="BK75">
    <cfRule type="expression" dxfId="486" priority="3638" stopIfTrue="1">
      <formula>BK$20="CYA"</formula>
    </cfRule>
  </conditionalFormatting>
  <conditionalFormatting sqref="BK67">
    <cfRule type="expression" dxfId="485" priority="3637" stopIfTrue="1">
      <formula>BK$20="CYA"</formula>
    </cfRule>
  </conditionalFormatting>
  <conditionalFormatting sqref="BK55">
    <cfRule type="expression" dxfId="484" priority="3636" stopIfTrue="1">
      <formula>BK$20="CYA"</formula>
    </cfRule>
  </conditionalFormatting>
  <conditionalFormatting sqref="BK49">
    <cfRule type="expression" dxfId="483" priority="3635" stopIfTrue="1">
      <formula>BK$20="CYA"</formula>
    </cfRule>
  </conditionalFormatting>
  <conditionalFormatting sqref="W47">
    <cfRule type="expression" dxfId="482" priority="3563" stopIfTrue="1">
      <formula>W$20="CYA"</formula>
    </cfRule>
  </conditionalFormatting>
  <conditionalFormatting sqref="W48">
    <cfRule type="expression" dxfId="481" priority="3562" stopIfTrue="1">
      <formula>W$20="CYA"</formula>
    </cfRule>
  </conditionalFormatting>
  <conditionalFormatting sqref="W49">
    <cfRule type="expression" dxfId="480" priority="3561" stopIfTrue="1">
      <formula>W$20="CYA"</formula>
    </cfRule>
  </conditionalFormatting>
  <conditionalFormatting sqref="X108:X112">
    <cfRule type="expression" dxfId="479" priority="2683" stopIfTrue="1">
      <formula>X$20="CYA"</formula>
    </cfRule>
  </conditionalFormatting>
  <conditionalFormatting sqref="W108:W112">
    <cfRule type="expression" dxfId="478" priority="2684" stopIfTrue="1">
      <formula>W$20="CYA"</formula>
    </cfRule>
  </conditionalFormatting>
  <conditionalFormatting sqref="Y108:Y111">
    <cfRule type="expression" dxfId="477" priority="2682" stopIfTrue="1">
      <formula>Y$20="CYA"</formula>
    </cfRule>
  </conditionalFormatting>
  <conditionalFormatting sqref="Z156">
    <cfRule type="expression" dxfId="476" priority="2608" stopIfTrue="1">
      <formula>Z$20="CYA"</formula>
    </cfRule>
  </conditionalFormatting>
  <conditionalFormatting sqref="AC48">
    <cfRule type="expression" dxfId="475" priority="2567" stopIfTrue="1">
      <formula>AC$20="CYA"</formula>
    </cfRule>
  </conditionalFormatting>
  <conditionalFormatting sqref="AC42">
    <cfRule type="expression" dxfId="474" priority="2571" stopIfTrue="1">
      <formula>AC$20="CYA"</formula>
    </cfRule>
  </conditionalFormatting>
  <conditionalFormatting sqref="AC43">
    <cfRule type="expression" dxfId="473" priority="2570" stopIfTrue="1">
      <formula>AC$20="CYA"</formula>
    </cfRule>
  </conditionalFormatting>
  <conditionalFormatting sqref="AD55:AN55">
    <cfRule type="expression" dxfId="472" priority="2560" stopIfTrue="1">
      <formula>AD$20="CYA"</formula>
    </cfRule>
  </conditionalFormatting>
  <conditionalFormatting sqref="AN155">
    <cfRule type="expression" dxfId="471" priority="2648" stopIfTrue="1">
      <formula>AN$20="CYA"</formula>
    </cfRule>
  </conditionalFormatting>
  <conditionalFormatting sqref="AD43:AN43">
    <cfRule type="expression" dxfId="470" priority="2568" stopIfTrue="1">
      <formula>AD$20="CYA"</formula>
    </cfRule>
  </conditionalFormatting>
  <conditionalFormatting sqref="AD211:AN211">
    <cfRule type="expression" dxfId="469" priority="2431" stopIfTrue="1">
      <formula>AD$20="CYA"</formula>
    </cfRule>
  </conditionalFormatting>
  <conditionalFormatting sqref="AM155">
    <cfRule type="expression" dxfId="468" priority="2649" stopIfTrue="1">
      <formula>AM$20="CYA"</formula>
    </cfRule>
  </conditionalFormatting>
  <conditionalFormatting sqref="AC212">
    <cfRule type="expression" dxfId="467" priority="2432" stopIfTrue="1">
      <formula>AC$20="CYA"</formula>
    </cfRule>
  </conditionalFormatting>
  <conditionalFormatting sqref="AN108:AN112">
    <cfRule type="expression" dxfId="466" priority="2667" stopIfTrue="1">
      <formula>AN$20="CYA"</formula>
    </cfRule>
  </conditionalFormatting>
  <conditionalFormatting sqref="K108:V112">
    <cfRule type="expression" dxfId="465" priority="2685" stopIfTrue="1">
      <formula>K$20="CYA"</formula>
    </cfRule>
  </conditionalFormatting>
  <conditionalFormatting sqref="Z108:Z111">
    <cfRule type="expression" dxfId="464" priority="2681" stopIfTrue="1">
      <formula>Z$20="CYA"</formula>
    </cfRule>
  </conditionalFormatting>
  <conditionalFormatting sqref="AA108:AA111">
    <cfRule type="expression" dxfId="463" priority="2680" stopIfTrue="1">
      <formula>AA$20="CYA"</formula>
    </cfRule>
  </conditionalFormatting>
  <conditionalFormatting sqref="AB108:AB112">
    <cfRule type="expression" dxfId="462" priority="2679" stopIfTrue="1">
      <formula>AB$20="CYA"</formula>
    </cfRule>
  </conditionalFormatting>
  <conditionalFormatting sqref="AC108:AC112">
    <cfRule type="expression" dxfId="461" priority="2678" stopIfTrue="1">
      <formula>AC$20="CYA"</formula>
    </cfRule>
  </conditionalFormatting>
  <conditionalFormatting sqref="AD108:AD112">
    <cfRule type="expression" dxfId="460" priority="2677" stopIfTrue="1">
      <formula>AD$20="CYA"</formula>
    </cfRule>
  </conditionalFormatting>
  <conditionalFormatting sqref="AE108:AE112">
    <cfRule type="expression" dxfId="459" priority="2676" stopIfTrue="1">
      <formula>AE$20="CYA"</formula>
    </cfRule>
  </conditionalFormatting>
  <conditionalFormatting sqref="AF108:AF112">
    <cfRule type="expression" dxfId="458" priority="2675" stopIfTrue="1">
      <formula>AF$20="CYA"</formula>
    </cfRule>
  </conditionalFormatting>
  <conditionalFormatting sqref="AG108:AG112">
    <cfRule type="expression" dxfId="457" priority="2674" stopIfTrue="1">
      <formula>AG$20="CYA"</formula>
    </cfRule>
  </conditionalFormatting>
  <conditionalFormatting sqref="AH108:AH112">
    <cfRule type="expression" dxfId="456" priority="2673" stopIfTrue="1">
      <formula>AH$20="CYA"</formula>
    </cfRule>
  </conditionalFormatting>
  <conditionalFormatting sqref="AI108:AI112">
    <cfRule type="expression" dxfId="455" priority="2672" stopIfTrue="1">
      <formula>AI$20="CYA"</formula>
    </cfRule>
  </conditionalFormatting>
  <conditionalFormatting sqref="AJ108:AJ112">
    <cfRule type="expression" dxfId="454" priority="2671" stopIfTrue="1">
      <formula>AJ$20="CYA"</formula>
    </cfRule>
  </conditionalFormatting>
  <conditionalFormatting sqref="AK108:AK112">
    <cfRule type="expression" dxfId="453" priority="2670" stopIfTrue="1">
      <formula>AK$20="CYA"</formula>
    </cfRule>
  </conditionalFormatting>
  <conditionalFormatting sqref="AL108:AL112">
    <cfRule type="expression" dxfId="452" priority="2669" stopIfTrue="1">
      <formula>AL$20="CYA"</formula>
    </cfRule>
  </conditionalFormatting>
  <conditionalFormatting sqref="AM108:AM112">
    <cfRule type="expression" dxfId="451" priority="2668" stopIfTrue="1">
      <formula>AM$20="CYA"</formula>
    </cfRule>
  </conditionalFormatting>
  <conditionalFormatting sqref="K155:V155">
    <cfRule type="expression" dxfId="450" priority="2666" stopIfTrue="1">
      <formula>K$20="CYA"</formula>
    </cfRule>
  </conditionalFormatting>
  <conditionalFormatting sqref="W155">
    <cfRule type="expression" dxfId="449" priority="2665" stopIfTrue="1">
      <formula>W$20="CYA"</formula>
    </cfRule>
  </conditionalFormatting>
  <conditionalFormatting sqref="X155">
    <cfRule type="expression" dxfId="448" priority="2664" stopIfTrue="1">
      <formula>X$20="CYA"</formula>
    </cfRule>
  </conditionalFormatting>
  <conditionalFormatting sqref="Y155">
    <cfRule type="expression" dxfId="447" priority="2663" stopIfTrue="1">
      <formula>Y$20="CYA"</formula>
    </cfRule>
  </conditionalFormatting>
  <conditionalFormatting sqref="AB155">
    <cfRule type="expression" dxfId="446" priority="2660" stopIfTrue="1">
      <formula>AB$20="CYA"</formula>
    </cfRule>
  </conditionalFormatting>
  <conditionalFormatting sqref="AC155">
    <cfRule type="expression" dxfId="445" priority="2659" stopIfTrue="1">
      <formula>AC$20="CYA"</formula>
    </cfRule>
  </conditionalFormatting>
  <conditionalFormatting sqref="AD155">
    <cfRule type="expression" dxfId="444" priority="2658" stopIfTrue="1">
      <formula>AD$20="CYA"</formula>
    </cfRule>
  </conditionalFormatting>
  <conditionalFormatting sqref="AE155">
    <cfRule type="expression" dxfId="443" priority="2657" stopIfTrue="1">
      <formula>AE$20="CYA"</formula>
    </cfRule>
  </conditionalFormatting>
  <conditionalFormatting sqref="AF155">
    <cfRule type="expression" dxfId="442" priority="2656" stopIfTrue="1">
      <formula>AF$20="CYA"</formula>
    </cfRule>
  </conditionalFormatting>
  <conditionalFormatting sqref="AG155">
    <cfRule type="expression" dxfId="441" priority="2655" stopIfTrue="1">
      <formula>AG$20="CYA"</formula>
    </cfRule>
  </conditionalFormatting>
  <conditionalFormatting sqref="AH155">
    <cfRule type="expression" dxfId="440" priority="2654" stopIfTrue="1">
      <formula>AH$20="CYA"</formula>
    </cfRule>
  </conditionalFormatting>
  <conditionalFormatting sqref="AI155">
    <cfRule type="expression" dxfId="439" priority="2653" stopIfTrue="1">
      <formula>AI$20="CYA"</formula>
    </cfRule>
  </conditionalFormatting>
  <conditionalFormatting sqref="AJ155">
    <cfRule type="expression" dxfId="438" priority="2652" stopIfTrue="1">
      <formula>AJ$20="CYA"</formula>
    </cfRule>
  </conditionalFormatting>
  <conditionalFormatting sqref="AK155">
    <cfRule type="expression" dxfId="437" priority="2651" stopIfTrue="1">
      <formula>AK$20="CYA"</formula>
    </cfRule>
  </conditionalFormatting>
  <conditionalFormatting sqref="AL155">
    <cfRule type="expression" dxfId="436" priority="2650" stopIfTrue="1">
      <formula>AL$20="CYA"</formula>
    </cfRule>
  </conditionalFormatting>
  <conditionalFormatting sqref="L113:W113">
    <cfRule type="expression" dxfId="435" priority="2647" stopIfTrue="1">
      <formula>L$20="CYA"</formula>
    </cfRule>
  </conditionalFormatting>
  <conditionalFormatting sqref="Y113">
    <cfRule type="expression" dxfId="434" priority="2646" stopIfTrue="1">
      <formula>Y$20="CYA"</formula>
    </cfRule>
  </conditionalFormatting>
  <conditionalFormatting sqref="Z155">
    <cfRule type="expression" dxfId="433" priority="2645" stopIfTrue="1">
      <formula>Z$20="CYA"</formula>
    </cfRule>
  </conditionalFormatting>
  <conditionalFormatting sqref="AA155">
    <cfRule type="expression" dxfId="432" priority="2644" stopIfTrue="1">
      <formula>AA$20="CYA"</formula>
    </cfRule>
  </conditionalFormatting>
  <conditionalFormatting sqref="AC55">
    <cfRule type="expression" dxfId="431" priority="2562" stopIfTrue="1">
      <formula>AC$20="CYA"</formula>
    </cfRule>
  </conditionalFormatting>
  <conditionalFormatting sqref="AA156">
    <cfRule type="expression" dxfId="430" priority="2607" stopIfTrue="1">
      <formula>AA$20="CYA"</formula>
    </cfRule>
  </conditionalFormatting>
  <conditionalFormatting sqref="AD42:AN42">
    <cfRule type="expression" dxfId="429" priority="2569" stopIfTrue="1">
      <formula>AD$20="CYA"</formula>
    </cfRule>
  </conditionalFormatting>
  <conditionalFormatting sqref="AD239:AN239">
    <cfRule type="expression" dxfId="428" priority="2415" stopIfTrue="1">
      <formula>AD$20="CYA"</formula>
    </cfRule>
  </conditionalFormatting>
  <conditionalFormatting sqref="AD54:AN54">
    <cfRule type="expression" dxfId="427" priority="2561" stopIfTrue="1">
      <formula>AD$20="CYA"</formula>
    </cfRule>
  </conditionalFormatting>
  <conditionalFormatting sqref="AC49">
    <cfRule type="expression" dxfId="426" priority="2566" stopIfTrue="1">
      <formula>AC$20="CYA"</formula>
    </cfRule>
  </conditionalFormatting>
  <conditionalFormatting sqref="AD48:AJ48 AL48:AN48">
    <cfRule type="expression" dxfId="425" priority="2565" stopIfTrue="1">
      <formula>AD$20="CYA"</formula>
    </cfRule>
  </conditionalFormatting>
  <conditionalFormatting sqref="AD49:AN49">
    <cfRule type="expression" dxfId="424" priority="2564" stopIfTrue="1">
      <formula>AD$20="CYA"</formula>
    </cfRule>
  </conditionalFormatting>
  <conditionalFormatting sqref="AC54">
    <cfRule type="expression" dxfId="423" priority="2563" stopIfTrue="1">
      <formula>AC$20="CYA"</formula>
    </cfRule>
  </conditionalFormatting>
  <conditionalFormatting sqref="Z66">
    <cfRule type="expression" dxfId="422" priority="2552" stopIfTrue="1">
      <formula>Z$20="CYA"</formula>
    </cfRule>
  </conditionalFormatting>
  <conditionalFormatting sqref="AA66">
    <cfRule type="expression" dxfId="421" priority="2551" stopIfTrue="1">
      <formula>AA$20="CYA"</formula>
    </cfRule>
  </conditionalFormatting>
  <conditionalFormatting sqref="AD260:AN260">
    <cfRule type="expression" dxfId="420" priority="2398" stopIfTrue="1">
      <formula>AD$20="CYA"</formula>
    </cfRule>
  </conditionalFormatting>
  <conditionalFormatting sqref="AC67">
    <cfRule type="expression" dxfId="419" priority="2558" stopIfTrue="1">
      <formula>AC$20="CYA"</formula>
    </cfRule>
  </conditionalFormatting>
  <conditionalFormatting sqref="AC267">
    <cfRule type="expression" dxfId="418" priority="2396" stopIfTrue="1">
      <formula>AC$20="CYA"</formula>
    </cfRule>
  </conditionalFormatting>
  <conditionalFormatting sqref="AD67:AN67">
    <cfRule type="expression" dxfId="417" priority="2556" stopIfTrue="1">
      <formula>AD$20="CYA"</formula>
    </cfRule>
  </conditionalFormatting>
  <conditionalFormatting sqref="W66">
    <cfRule type="expression" dxfId="416" priority="2555" stopIfTrue="1">
      <formula>W$20="CYA"</formula>
    </cfRule>
  </conditionalFormatting>
  <conditionalFormatting sqref="X66">
    <cfRule type="expression" dxfId="415" priority="2554" stopIfTrue="1">
      <formula>X$20="CYA"</formula>
    </cfRule>
  </conditionalFormatting>
  <conditionalFormatting sqref="Y66">
    <cfRule type="expression" dxfId="414" priority="2553" stopIfTrue="1">
      <formula>Y$20="CYA"</formula>
    </cfRule>
  </conditionalFormatting>
  <conditionalFormatting sqref="Z74">
    <cfRule type="expression" dxfId="413" priority="2542" stopIfTrue="1">
      <formula>Z$20="CYA"</formula>
    </cfRule>
  </conditionalFormatting>
  <conditionalFormatting sqref="AA74">
    <cfRule type="expression" dxfId="412" priority="2541" stopIfTrue="1">
      <formula>AA$20="CYA"</formula>
    </cfRule>
  </conditionalFormatting>
  <conditionalFormatting sqref="AB66">
    <cfRule type="expression" dxfId="411" priority="2550" stopIfTrue="1">
      <formula>AB$20="CYA"</formula>
    </cfRule>
  </conditionalFormatting>
  <conditionalFormatting sqref="BK66">
    <cfRule type="expression" dxfId="410" priority="2549" stopIfTrue="1">
      <formula>BK$20="CYA"</formula>
    </cfRule>
  </conditionalFormatting>
  <conditionalFormatting sqref="AD66:AN66">
    <cfRule type="expression" dxfId="409" priority="2512" stopIfTrue="1">
      <formula>AD$20="CYA"</formula>
    </cfRule>
  </conditionalFormatting>
  <conditionalFormatting sqref="W74">
    <cfRule type="expression" dxfId="408" priority="2545" stopIfTrue="1">
      <formula>W$20="CYA"</formula>
    </cfRule>
  </conditionalFormatting>
  <conditionalFormatting sqref="X74">
    <cfRule type="expression" dxfId="407" priority="2544" stopIfTrue="1">
      <formula>X$20="CYA"</formula>
    </cfRule>
  </conditionalFormatting>
  <conditionalFormatting sqref="Y74">
    <cfRule type="expression" dxfId="406" priority="2543" stopIfTrue="1">
      <formula>Y$20="CYA"</formula>
    </cfRule>
  </conditionalFormatting>
  <conditionalFormatting sqref="AB74">
    <cfRule type="expression" dxfId="405" priority="2540" stopIfTrue="1">
      <formula>AB$20="CYA"</formula>
    </cfRule>
  </conditionalFormatting>
  <conditionalFormatting sqref="BK74">
    <cfRule type="expression" dxfId="404" priority="2539" stopIfTrue="1">
      <formula>BK$20="CYA"</formula>
    </cfRule>
  </conditionalFormatting>
  <conditionalFormatting sqref="AC83">
    <cfRule type="expression" dxfId="403" priority="2505" stopIfTrue="1">
      <formula>AC$20="CYA"</formula>
    </cfRule>
  </conditionalFormatting>
  <conditionalFormatting sqref="W82">
    <cfRule type="expression" dxfId="402" priority="2535" stopIfTrue="1">
      <formula>W$20="CYA"</formula>
    </cfRule>
  </conditionalFormatting>
  <conditionalFormatting sqref="X82">
    <cfRule type="expression" dxfId="401" priority="2534" stopIfTrue="1">
      <formula>X$20="CYA"</formula>
    </cfRule>
  </conditionalFormatting>
  <conditionalFormatting sqref="Y82">
    <cfRule type="expression" dxfId="400" priority="2533" stopIfTrue="1">
      <formula>Y$20="CYA"</formula>
    </cfRule>
  </conditionalFormatting>
  <conditionalFormatting sqref="Z82">
    <cfRule type="expression" dxfId="399" priority="2532" stopIfTrue="1">
      <formula>Z$20="CYA"</formula>
    </cfRule>
  </conditionalFormatting>
  <conditionalFormatting sqref="AA82">
    <cfRule type="expression" dxfId="398" priority="2531" stopIfTrue="1">
      <formula>AA$20="CYA"</formula>
    </cfRule>
  </conditionalFormatting>
  <conditionalFormatting sqref="AB82">
    <cfRule type="expression" dxfId="397" priority="2530" stopIfTrue="1">
      <formula>AB$20="CYA"</formula>
    </cfRule>
  </conditionalFormatting>
  <conditionalFormatting sqref="BK82">
    <cfRule type="expression" dxfId="396" priority="2529" stopIfTrue="1">
      <formula>BK$20="CYA"</formula>
    </cfRule>
  </conditionalFormatting>
  <conditionalFormatting sqref="AD91:AN91">
    <cfRule type="expression" dxfId="395" priority="2498" stopIfTrue="1">
      <formula>AD$20="CYA"</formula>
    </cfRule>
  </conditionalFormatting>
  <conditionalFormatting sqref="W90">
    <cfRule type="expression" dxfId="394" priority="2525" stopIfTrue="1">
      <formula>W$20="CYA"</formula>
    </cfRule>
  </conditionalFormatting>
  <conditionalFormatting sqref="X90">
    <cfRule type="expression" dxfId="393" priority="2524" stopIfTrue="1">
      <formula>X$20="CYA"</formula>
    </cfRule>
  </conditionalFormatting>
  <conditionalFormatting sqref="Y90">
    <cfRule type="expression" dxfId="392" priority="2523" stopIfTrue="1">
      <formula>Y$20="CYA"</formula>
    </cfRule>
  </conditionalFormatting>
  <conditionalFormatting sqref="Z90">
    <cfRule type="expression" dxfId="391" priority="2522" stopIfTrue="1">
      <formula>Z$20="CYA"</formula>
    </cfRule>
  </conditionalFormatting>
  <conditionalFormatting sqref="AA90">
    <cfRule type="expression" dxfId="390" priority="2521" stopIfTrue="1">
      <formula>AA$20="CYA"</formula>
    </cfRule>
  </conditionalFormatting>
  <conditionalFormatting sqref="AB90">
    <cfRule type="expression" dxfId="389" priority="2520" stopIfTrue="1">
      <formula>AB$20="CYA"</formula>
    </cfRule>
  </conditionalFormatting>
  <conditionalFormatting sqref="BK90">
    <cfRule type="expression" dxfId="388" priority="2519" stopIfTrue="1">
      <formula>BK$20="CYA"</formula>
    </cfRule>
  </conditionalFormatting>
  <conditionalFormatting sqref="AD102:AN102">
    <cfRule type="expression" dxfId="387" priority="2491" stopIfTrue="1">
      <formula>AD$20="CYA"</formula>
    </cfRule>
  </conditionalFormatting>
  <conditionalFormatting sqref="AC66">
    <cfRule type="expression" dxfId="386" priority="2514" stopIfTrue="1">
      <formula>AC$20="CYA"</formula>
    </cfRule>
  </conditionalFormatting>
  <conditionalFormatting sqref="AD65:AN65">
    <cfRule type="expression" dxfId="385" priority="2513" stopIfTrue="1">
      <formula>AD$20="CYA"</formula>
    </cfRule>
  </conditionalFormatting>
  <conditionalFormatting sqref="AC65">
    <cfRule type="expression" dxfId="384" priority="2515" stopIfTrue="1">
      <formula>AC$20="CYA"</formula>
    </cfRule>
  </conditionalFormatting>
  <conditionalFormatting sqref="AC75">
    <cfRule type="expression" dxfId="383" priority="2511" stopIfTrue="1">
      <formula>AC$20="CYA"</formula>
    </cfRule>
  </conditionalFormatting>
  <conditionalFormatting sqref="AD75:AN75">
    <cfRule type="expression" dxfId="382" priority="2510" stopIfTrue="1">
      <formula>AD$20="CYA"</formula>
    </cfRule>
  </conditionalFormatting>
  <conditionalFormatting sqref="AD74:AN74">
    <cfRule type="expression" dxfId="381" priority="2506" stopIfTrue="1">
      <formula>AD$20="CYA"</formula>
    </cfRule>
  </conditionalFormatting>
  <conditionalFormatting sqref="AC74">
    <cfRule type="expression" dxfId="380" priority="2508" stopIfTrue="1">
      <formula>AC$20="CYA"</formula>
    </cfRule>
  </conditionalFormatting>
  <conditionalFormatting sqref="AD73:AN73">
    <cfRule type="expression" dxfId="379" priority="2507" stopIfTrue="1">
      <formula>AD$20="CYA"</formula>
    </cfRule>
  </conditionalFormatting>
  <conditionalFormatting sqref="AC73">
    <cfRule type="expression" dxfId="378" priority="2509" stopIfTrue="1">
      <formula>AC$20="CYA"</formula>
    </cfRule>
  </conditionalFormatting>
  <conditionalFormatting sqref="AD83:AN83">
    <cfRule type="expression" dxfId="377" priority="2504" stopIfTrue="1">
      <formula>AD$20="CYA"</formula>
    </cfRule>
  </conditionalFormatting>
  <conditionalFormatting sqref="AD82:AN82">
    <cfRule type="expression" dxfId="376" priority="2500" stopIfTrue="1">
      <formula>AD$20="CYA"</formula>
    </cfRule>
  </conditionalFormatting>
  <conditionalFormatting sqref="AC82">
    <cfRule type="expression" dxfId="375" priority="2502" stopIfTrue="1">
      <formula>AC$20="CYA"</formula>
    </cfRule>
  </conditionalFormatting>
  <conditionalFormatting sqref="AD81:AN81">
    <cfRule type="expression" dxfId="374" priority="2501" stopIfTrue="1">
      <formula>AD$20="CYA"</formula>
    </cfRule>
  </conditionalFormatting>
  <conditionalFormatting sqref="AC81">
    <cfRule type="expression" dxfId="373" priority="2503" stopIfTrue="1">
      <formula>AC$20="CYA"</formula>
    </cfRule>
  </conditionalFormatting>
  <conditionalFormatting sqref="AC91">
    <cfRule type="expression" dxfId="372" priority="2499" stopIfTrue="1">
      <formula>AC$20="CYA"</formula>
    </cfRule>
  </conditionalFormatting>
  <conditionalFormatting sqref="AD90:AN90">
    <cfRule type="expression" dxfId="371" priority="2494" stopIfTrue="1">
      <formula>AD$20="CYA"</formula>
    </cfRule>
  </conditionalFormatting>
  <conditionalFormatting sqref="AC90">
    <cfRule type="expression" dxfId="370" priority="2496" stopIfTrue="1">
      <formula>AC$20="CYA"</formula>
    </cfRule>
  </conditionalFormatting>
  <conditionalFormatting sqref="AD89:AN89">
    <cfRule type="expression" dxfId="369" priority="2495" stopIfTrue="1">
      <formula>AD$20="CYA"</formula>
    </cfRule>
  </conditionalFormatting>
  <conditionalFormatting sqref="AC89">
    <cfRule type="expression" dxfId="368" priority="2497" stopIfTrue="1">
      <formula>AC$20="CYA"</formula>
    </cfRule>
  </conditionalFormatting>
  <conditionalFormatting sqref="AD103:AN103">
    <cfRule type="expression" dxfId="367" priority="2490" stopIfTrue="1">
      <formula>AD$20="CYA"</formula>
    </cfRule>
  </conditionalFormatting>
  <conditionalFormatting sqref="AC103">
    <cfRule type="expression" dxfId="366" priority="2492" stopIfTrue="1">
      <formula>AC$20="CYA"</formula>
    </cfRule>
  </conditionalFormatting>
  <conditionalFormatting sqref="AC102">
    <cfRule type="expression" dxfId="365" priority="2493" stopIfTrue="1">
      <formula>AC$20="CYA"</formula>
    </cfRule>
  </conditionalFormatting>
  <conditionalFormatting sqref="AD115:AN115">
    <cfRule type="expression" dxfId="364" priority="2486" stopIfTrue="1">
      <formula>AD$20="CYA"</formula>
    </cfRule>
  </conditionalFormatting>
  <conditionalFormatting sqref="AC115">
    <cfRule type="expression" dxfId="363" priority="2488" stopIfTrue="1">
      <formula>AC$20="CYA"</formula>
    </cfRule>
  </conditionalFormatting>
  <conditionalFormatting sqref="AD114:AN114">
    <cfRule type="expression" dxfId="362" priority="2487" stopIfTrue="1">
      <formula>AD$20="CYA"</formula>
    </cfRule>
  </conditionalFormatting>
  <conditionalFormatting sqref="AC114">
    <cfRule type="expression" dxfId="361" priority="2489" stopIfTrue="1">
      <formula>AC$20="CYA"</formula>
    </cfRule>
  </conditionalFormatting>
  <conditionalFormatting sqref="AD123:AN123">
    <cfRule type="expression" dxfId="360" priority="2478" stopIfTrue="1">
      <formula>AD$20="CYA"</formula>
    </cfRule>
  </conditionalFormatting>
  <conditionalFormatting sqref="AC123">
    <cfRule type="expression" dxfId="359" priority="2480" stopIfTrue="1">
      <formula>AC$20="CYA"</formula>
    </cfRule>
  </conditionalFormatting>
  <conditionalFormatting sqref="AD122:AN122">
    <cfRule type="expression" dxfId="358" priority="2479" stopIfTrue="1">
      <formula>AD$20="CYA"</formula>
    </cfRule>
  </conditionalFormatting>
  <conditionalFormatting sqref="AC122">
    <cfRule type="expression" dxfId="357" priority="2481" stopIfTrue="1">
      <formula>AC$20="CYA"</formula>
    </cfRule>
  </conditionalFormatting>
  <conditionalFormatting sqref="AD151:AN151">
    <cfRule type="expression" dxfId="356" priority="2474" stopIfTrue="1">
      <formula>AD$20="CYA"</formula>
    </cfRule>
  </conditionalFormatting>
  <conditionalFormatting sqref="AC151">
    <cfRule type="expression" dxfId="355" priority="2476" stopIfTrue="1">
      <formula>AC$20="CYA"</formula>
    </cfRule>
  </conditionalFormatting>
  <conditionalFormatting sqref="AD150:AN150">
    <cfRule type="expression" dxfId="354" priority="2475" stopIfTrue="1">
      <formula>AD$20="CYA"</formula>
    </cfRule>
  </conditionalFormatting>
  <conditionalFormatting sqref="AC150">
    <cfRule type="expression" dxfId="353" priority="2477" stopIfTrue="1">
      <formula>AC$20="CYA"</formula>
    </cfRule>
  </conditionalFormatting>
  <conditionalFormatting sqref="AD158:AN158">
    <cfRule type="expression" dxfId="352" priority="2470" stopIfTrue="1">
      <formula>AD$20="CYA"</formula>
    </cfRule>
  </conditionalFormatting>
  <conditionalFormatting sqref="AC158">
    <cfRule type="expression" dxfId="351" priority="2472" stopIfTrue="1">
      <formula>AC$20="CYA"</formula>
    </cfRule>
  </conditionalFormatting>
  <conditionalFormatting sqref="AD157:AN157">
    <cfRule type="expression" dxfId="350" priority="2471" stopIfTrue="1">
      <formula>AD$20="CYA"</formula>
    </cfRule>
  </conditionalFormatting>
  <conditionalFormatting sqref="AC157">
    <cfRule type="expression" dxfId="349" priority="2473" stopIfTrue="1">
      <formula>AC$20="CYA"</formula>
    </cfRule>
  </conditionalFormatting>
  <conditionalFormatting sqref="AD164:AN164">
    <cfRule type="expression" dxfId="348" priority="2466" stopIfTrue="1">
      <formula>AD$20="CYA"</formula>
    </cfRule>
  </conditionalFormatting>
  <conditionalFormatting sqref="AC164">
    <cfRule type="expression" dxfId="347" priority="2468" stopIfTrue="1">
      <formula>AC$20="CYA"</formula>
    </cfRule>
  </conditionalFormatting>
  <conditionalFormatting sqref="AD163:AN163">
    <cfRule type="expression" dxfId="346" priority="2467" stopIfTrue="1">
      <formula>AD$20="CYA"</formula>
    </cfRule>
  </conditionalFormatting>
  <conditionalFormatting sqref="AC163">
    <cfRule type="expression" dxfId="345" priority="2469" stopIfTrue="1">
      <formula>AC$20="CYA"</formula>
    </cfRule>
  </conditionalFormatting>
  <conditionalFormatting sqref="AD169:AN169">
    <cfRule type="expression" dxfId="344" priority="2462" stopIfTrue="1">
      <formula>AD$20="CYA"</formula>
    </cfRule>
  </conditionalFormatting>
  <conditionalFormatting sqref="AC169">
    <cfRule type="expression" dxfId="343" priority="2464" stopIfTrue="1">
      <formula>AC$20="CYA"</formula>
    </cfRule>
  </conditionalFormatting>
  <conditionalFormatting sqref="AD168:AN168">
    <cfRule type="expression" dxfId="342" priority="2463" stopIfTrue="1">
      <formula>AD$20="CYA"</formula>
    </cfRule>
  </conditionalFormatting>
  <conditionalFormatting sqref="AC168">
    <cfRule type="expression" dxfId="341" priority="2465" stopIfTrue="1">
      <formula>AC$20="CYA"</formula>
    </cfRule>
  </conditionalFormatting>
  <conditionalFormatting sqref="AD174:AN174">
    <cfRule type="expression" dxfId="340" priority="2458" stopIfTrue="1">
      <formula>AD$20="CYA"</formula>
    </cfRule>
  </conditionalFormatting>
  <conditionalFormatting sqref="AC174">
    <cfRule type="expression" dxfId="339" priority="2460" stopIfTrue="1">
      <formula>AC$20="CYA"</formula>
    </cfRule>
  </conditionalFormatting>
  <conditionalFormatting sqref="AD173:AN173">
    <cfRule type="expression" dxfId="338" priority="2459" stopIfTrue="1">
      <formula>AD$20="CYA"</formula>
    </cfRule>
  </conditionalFormatting>
  <conditionalFormatting sqref="AC173">
    <cfRule type="expression" dxfId="337" priority="2461" stopIfTrue="1">
      <formula>AC$20="CYA"</formula>
    </cfRule>
  </conditionalFormatting>
  <conditionalFormatting sqref="AD180:AN180">
    <cfRule type="expression" dxfId="336" priority="2454" stopIfTrue="1">
      <formula>AD$20="CYA"</formula>
    </cfRule>
  </conditionalFormatting>
  <conditionalFormatting sqref="AC180">
    <cfRule type="expression" dxfId="335" priority="2456" stopIfTrue="1">
      <formula>AC$20="CYA"</formula>
    </cfRule>
  </conditionalFormatting>
  <conditionalFormatting sqref="AD179:AN179">
    <cfRule type="expression" dxfId="334" priority="2455" stopIfTrue="1">
      <formula>AD$20="CYA"</formula>
    </cfRule>
  </conditionalFormatting>
  <conditionalFormatting sqref="AC179">
    <cfRule type="expression" dxfId="333" priority="2457" stopIfTrue="1">
      <formula>AC$20="CYA"</formula>
    </cfRule>
  </conditionalFormatting>
  <conditionalFormatting sqref="AD186:AN186">
    <cfRule type="expression" dxfId="332" priority="2450" stopIfTrue="1">
      <formula>AD$20="CYA"</formula>
    </cfRule>
  </conditionalFormatting>
  <conditionalFormatting sqref="AC186">
    <cfRule type="expression" dxfId="331" priority="2452" stopIfTrue="1">
      <formula>AC$20="CYA"</formula>
    </cfRule>
  </conditionalFormatting>
  <conditionalFormatting sqref="AD185:AN185">
    <cfRule type="expression" dxfId="330" priority="2451" stopIfTrue="1">
      <formula>AD$20="CYA"</formula>
    </cfRule>
  </conditionalFormatting>
  <conditionalFormatting sqref="AC185">
    <cfRule type="expression" dxfId="329" priority="2453" stopIfTrue="1">
      <formula>AC$20="CYA"</formula>
    </cfRule>
  </conditionalFormatting>
  <conditionalFormatting sqref="AD192:AN192">
    <cfRule type="expression" dxfId="328" priority="2446" stopIfTrue="1">
      <formula>AD$20="CYA"</formula>
    </cfRule>
  </conditionalFormatting>
  <conditionalFormatting sqref="AC192">
    <cfRule type="expression" dxfId="327" priority="2448" stopIfTrue="1">
      <formula>AC$20="CYA"</formula>
    </cfRule>
  </conditionalFormatting>
  <conditionalFormatting sqref="AD191:AN191">
    <cfRule type="expression" dxfId="326" priority="2447" stopIfTrue="1">
      <formula>AD$20="CYA"</formula>
    </cfRule>
  </conditionalFormatting>
  <conditionalFormatting sqref="AC191">
    <cfRule type="expression" dxfId="325" priority="2449" stopIfTrue="1">
      <formula>AC$20="CYA"</formula>
    </cfRule>
  </conditionalFormatting>
  <conditionalFormatting sqref="AD197:AN197">
    <cfRule type="expression" dxfId="324" priority="2442" stopIfTrue="1">
      <formula>AD$20="CYA"</formula>
    </cfRule>
  </conditionalFormatting>
  <conditionalFormatting sqref="AC197">
    <cfRule type="expression" dxfId="323" priority="2444" stopIfTrue="1">
      <formula>AC$20="CYA"</formula>
    </cfRule>
  </conditionalFormatting>
  <conditionalFormatting sqref="AD196:AN196">
    <cfRule type="expression" dxfId="322" priority="2443" stopIfTrue="1">
      <formula>AD$20="CYA"</formula>
    </cfRule>
  </conditionalFormatting>
  <conditionalFormatting sqref="AC196">
    <cfRule type="expression" dxfId="321" priority="2445" stopIfTrue="1">
      <formula>AC$20="CYA"</formula>
    </cfRule>
  </conditionalFormatting>
  <conditionalFormatting sqref="AD202:AN202">
    <cfRule type="expression" dxfId="320" priority="2438" stopIfTrue="1">
      <formula>AD$20="CYA"</formula>
    </cfRule>
  </conditionalFormatting>
  <conditionalFormatting sqref="AC202">
    <cfRule type="expression" dxfId="319" priority="2440" stopIfTrue="1">
      <formula>AC$20="CYA"</formula>
    </cfRule>
  </conditionalFormatting>
  <conditionalFormatting sqref="AD201:AN201">
    <cfRule type="expression" dxfId="318" priority="2439" stopIfTrue="1">
      <formula>AD$20="CYA"</formula>
    </cfRule>
  </conditionalFormatting>
  <conditionalFormatting sqref="AC201">
    <cfRule type="expression" dxfId="317" priority="2441" stopIfTrue="1">
      <formula>AC$20="CYA"</formula>
    </cfRule>
  </conditionalFormatting>
  <conditionalFormatting sqref="AD207:AN207">
    <cfRule type="expression" dxfId="316" priority="2434" stopIfTrue="1">
      <formula>AD$20="CYA"</formula>
    </cfRule>
  </conditionalFormatting>
  <conditionalFormatting sqref="AC207">
    <cfRule type="expression" dxfId="315" priority="2436" stopIfTrue="1">
      <formula>AC$20="CYA"</formula>
    </cfRule>
  </conditionalFormatting>
  <conditionalFormatting sqref="AD206:AN206">
    <cfRule type="expression" dxfId="314" priority="2435" stopIfTrue="1">
      <formula>AD$20="CYA"</formula>
    </cfRule>
  </conditionalFormatting>
  <conditionalFormatting sqref="AC206">
    <cfRule type="expression" dxfId="313" priority="2437" stopIfTrue="1">
      <formula>AC$20="CYA"</formula>
    </cfRule>
  </conditionalFormatting>
  <conditionalFormatting sqref="AD212:AN212">
    <cfRule type="expression" dxfId="312" priority="2430" stopIfTrue="1">
      <formula>AD$20="CYA"</formula>
    </cfRule>
  </conditionalFormatting>
  <conditionalFormatting sqref="AC211">
    <cfRule type="expression" dxfId="311" priority="2433" stopIfTrue="1">
      <formula>AC$20="CYA"</formula>
    </cfRule>
  </conditionalFormatting>
  <conditionalFormatting sqref="AD217:AN217">
    <cfRule type="expression" dxfId="310" priority="2426" stopIfTrue="1">
      <formula>AD$20="CYA"</formula>
    </cfRule>
  </conditionalFormatting>
  <conditionalFormatting sqref="AC217">
    <cfRule type="expression" dxfId="309" priority="2428" stopIfTrue="1">
      <formula>AC$20="CYA"</formula>
    </cfRule>
  </conditionalFormatting>
  <conditionalFormatting sqref="AD216:AN216">
    <cfRule type="expression" dxfId="308" priority="2427" stopIfTrue="1">
      <formula>AD$20="CYA"</formula>
    </cfRule>
  </conditionalFormatting>
  <conditionalFormatting sqref="AC216">
    <cfRule type="expression" dxfId="307" priority="2429" stopIfTrue="1">
      <formula>AC$20="CYA"</formula>
    </cfRule>
  </conditionalFormatting>
  <conditionalFormatting sqref="AD222:AN222">
    <cfRule type="expression" dxfId="306" priority="2422" stopIfTrue="1">
      <formula>AD$20="CYA"</formula>
    </cfRule>
  </conditionalFormatting>
  <conditionalFormatting sqref="AC222">
    <cfRule type="expression" dxfId="305" priority="2424" stopIfTrue="1">
      <formula>AC$20="CYA"</formula>
    </cfRule>
  </conditionalFormatting>
  <conditionalFormatting sqref="AD221:AN221">
    <cfRule type="expression" dxfId="304" priority="2423" stopIfTrue="1">
      <formula>AD$20="CYA"</formula>
    </cfRule>
  </conditionalFormatting>
  <conditionalFormatting sqref="AC221">
    <cfRule type="expression" dxfId="303" priority="2425" stopIfTrue="1">
      <formula>AC$20="CYA"</formula>
    </cfRule>
  </conditionalFormatting>
  <conditionalFormatting sqref="AD227:AN227">
    <cfRule type="expression" dxfId="302" priority="2418" stopIfTrue="1">
      <formula>AD$20="CYA"</formula>
    </cfRule>
  </conditionalFormatting>
  <conditionalFormatting sqref="AC227">
    <cfRule type="expression" dxfId="301" priority="2420" stopIfTrue="1">
      <formula>AC$20="CYA"</formula>
    </cfRule>
  </conditionalFormatting>
  <conditionalFormatting sqref="AD226:AN226">
    <cfRule type="expression" dxfId="300" priority="2419" stopIfTrue="1">
      <formula>AD$20="CYA"</formula>
    </cfRule>
  </conditionalFormatting>
  <conditionalFormatting sqref="AC226">
    <cfRule type="expression" dxfId="299" priority="2421" stopIfTrue="1">
      <formula>AC$20="CYA"</formula>
    </cfRule>
  </conditionalFormatting>
  <conditionalFormatting sqref="AD240:AN240">
    <cfRule type="expression" dxfId="298" priority="2414" stopIfTrue="1">
      <formula>AD$20="CYA"</formula>
    </cfRule>
  </conditionalFormatting>
  <conditionalFormatting sqref="AC240">
    <cfRule type="expression" dxfId="297" priority="2416" stopIfTrue="1">
      <formula>AC$20="CYA"</formula>
    </cfRule>
  </conditionalFormatting>
  <conditionalFormatting sqref="AC239">
    <cfRule type="expression" dxfId="296" priority="2417" stopIfTrue="1">
      <formula>AC$20="CYA"</formula>
    </cfRule>
  </conditionalFormatting>
  <conditionalFormatting sqref="AD245:AN245">
    <cfRule type="expression" dxfId="295" priority="2410" stopIfTrue="1">
      <formula>AD$20="CYA"</formula>
    </cfRule>
  </conditionalFormatting>
  <conditionalFormatting sqref="AC245">
    <cfRule type="expression" dxfId="294" priority="2412" stopIfTrue="1">
      <formula>AC$20="CYA"</formula>
    </cfRule>
  </conditionalFormatting>
  <conditionalFormatting sqref="AD244:AN244">
    <cfRule type="expression" dxfId="293" priority="2411" stopIfTrue="1">
      <formula>AD$20="CYA"</formula>
    </cfRule>
  </conditionalFormatting>
  <conditionalFormatting sqref="AC244">
    <cfRule type="expression" dxfId="292" priority="2413" stopIfTrue="1">
      <formula>AC$20="CYA"</formula>
    </cfRule>
  </conditionalFormatting>
  <conditionalFormatting sqref="AD250:AN250">
    <cfRule type="expression" dxfId="291" priority="2406" stopIfTrue="1">
      <formula>AD$20="CYA"</formula>
    </cfRule>
  </conditionalFormatting>
  <conditionalFormatting sqref="AC250">
    <cfRule type="expression" dxfId="290" priority="2408" stopIfTrue="1">
      <formula>AC$20="CYA"</formula>
    </cfRule>
  </conditionalFormatting>
  <conditionalFormatting sqref="AD249:AN249">
    <cfRule type="expression" dxfId="289" priority="2407" stopIfTrue="1">
      <formula>AD$20="CYA"</formula>
    </cfRule>
  </conditionalFormatting>
  <conditionalFormatting sqref="AC249">
    <cfRule type="expression" dxfId="288" priority="2409" stopIfTrue="1">
      <formula>AC$20="CYA"</formula>
    </cfRule>
  </conditionalFormatting>
  <conditionalFormatting sqref="AD255:AN255">
    <cfRule type="expression" dxfId="287" priority="2402" stopIfTrue="1">
      <formula>AD$20="CYA"</formula>
    </cfRule>
  </conditionalFormatting>
  <conditionalFormatting sqref="AC255">
    <cfRule type="expression" dxfId="286" priority="2404" stopIfTrue="1">
      <formula>AC$20="CYA"</formula>
    </cfRule>
  </conditionalFormatting>
  <conditionalFormatting sqref="AD254:AN254">
    <cfRule type="expression" dxfId="285" priority="2403" stopIfTrue="1">
      <formula>AD$20="CYA"</formula>
    </cfRule>
  </conditionalFormatting>
  <conditionalFormatting sqref="AC254">
    <cfRule type="expression" dxfId="284" priority="2405" stopIfTrue="1">
      <formula>AC$20="CYA"</formula>
    </cfRule>
  </conditionalFormatting>
  <conditionalFormatting sqref="AC260">
    <cfRule type="expression" dxfId="283" priority="2400" stopIfTrue="1">
      <formula>AC$20="CYA"</formula>
    </cfRule>
  </conditionalFormatting>
  <conditionalFormatting sqref="AD259:AN259">
    <cfRule type="expression" dxfId="282" priority="2399" stopIfTrue="1">
      <formula>AD$20="CYA"</formula>
    </cfRule>
  </conditionalFormatting>
  <conditionalFormatting sqref="AC259">
    <cfRule type="expression" dxfId="281" priority="2401" stopIfTrue="1">
      <formula>AC$20="CYA"</formula>
    </cfRule>
  </conditionalFormatting>
  <conditionalFormatting sqref="AD267:AN267">
    <cfRule type="expression" dxfId="280" priority="2394" stopIfTrue="1">
      <formula>AD$20="CYA"</formula>
    </cfRule>
  </conditionalFormatting>
  <conditionalFormatting sqref="AD266:AN266">
    <cfRule type="expression" dxfId="279" priority="2395" stopIfTrue="1">
      <formula>AD$20="CYA"</formula>
    </cfRule>
  </conditionalFormatting>
  <conditionalFormatting sqref="AC266">
    <cfRule type="expression" dxfId="278" priority="2397" stopIfTrue="1">
      <formula>AC$20="CYA"</formula>
    </cfRule>
  </conditionalFormatting>
  <conditionalFormatting sqref="K132:V132">
    <cfRule type="expression" dxfId="277" priority="2198" stopIfTrue="1">
      <formula>K$20="CYA"</formula>
    </cfRule>
  </conditionalFormatting>
  <conditionalFormatting sqref="Q126">
    <cfRule type="expression" dxfId="276" priority="2197" stopIfTrue="1">
      <formula>Q$20="CYA"</formula>
    </cfRule>
  </conditionalFormatting>
  <conditionalFormatting sqref="R126">
    <cfRule type="expression" dxfId="275" priority="2196" stopIfTrue="1">
      <formula>R$20="CYA"</formula>
    </cfRule>
  </conditionalFormatting>
  <conditionalFormatting sqref="S126">
    <cfRule type="expression" dxfId="274" priority="2195" stopIfTrue="1">
      <formula>S$20="CYA"</formula>
    </cfRule>
  </conditionalFormatting>
  <conditionalFormatting sqref="T126">
    <cfRule type="expression" dxfId="273" priority="2194" stopIfTrue="1">
      <formula>T$20="CYA"</formula>
    </cfRule>
  </conditionalFormatting>
  <conditionalFormatting sqref="U126">
    <cfRule type="expression" dxfId="272" priority="2193" stopIfTrue="1">
      <formula>U$20="CYA"</formula>
    </cfRule>
  </conditionalFormatting>
  <conditionalFormatting sqref="V126">
    <cfRule type="expression" dxfId="271" priority="2192" stopIfTrue="1">
      <formula>V$20="CYA"</formula>
    </cfRule>
  </conditionalFormatting>
  <conditionalFormatting sqref="W126">
    <cfRule type="expression" dxfId="270" priority="2191" stopIfTrue="1">
      <formula>W$20="CYA"</formula>
    </cfRule>
  </conditionalFormatting>
  <conditionalFormatting sqref="X126">
    <cfRule type="expression" dxfId="269" priority="2190" stopIfTrue="1">
      <formula>X$20="CYA"</formula>
    </cfRule>
  </conditionalFormatting>
  <conditionalFormatting sqref="Y126">
    <cfRule type="expression" dxfId="268" priority="2189" stopIfTrue="1">
      <formula>Y$20="CYA"</formula>
    </cfRule>
  </conditionalFormatting>
  <conditionalFormatting sqref="Z126">
    <cfRule type="expression" dxfId="267" priority="2188" stopIfTrue="1">
      <formula>Z$20="CYA"</formula>
    </cfRule>
  </conditionalFormatting>
  <conditionalFormatting sqref="AA126">
    <cfRule type="expression" dxfId="266" priority="2187" stopIfTrue="1">
      <formula>AA$20="CYA"</formula>
    </cfRule>
  </conditionalFormatting>
  <conditionalFormatting sqref="AB126">
    <cfRule type="expression" dxfId="265" priority="2186" stopIfTrue="1">
      <formula>AB$20="CYA"</formula>
    </cfRule>
  </conditionalFormatting>
  <conditionalFormatting sqref="AC126">
    <cfRule type="expression" dxfId="264" priority="2185" stopIfTrue="1">
      <formula>AC$20="CYA"</formula>
    </cfRule>
  </conditionalFormatting>
  <conditionalFormatting sqref="AD126">
    <cfRule type="expression" dxfId="263" priority="2184" stopIfTrue="1">
      <formula>AD$20="CYA"</formula>
    </cfRule>
  </conditionalFormatting>
  <conditionalFormatting sqref="AK126">
    <cfRule type="expression" dxfId="262" priority="2177" stopIfTrue="1">
      <formula>AK$20="CYA"</formula>
    </cfRule>
  </conditionalFormatting>
  <conditionalFormatting sqref="AL126">
    <cfRule type="expression" dxfId="261" priority="2176" stopIfTrue="1">
      <formula>AL$20="CYA"</formula>
    </cfRule>
  </conditionalFormatting>
  <conditionalFormatting sqref="AM126">
    <cfRule type="expression" dxfId="260" priority="2175" stopIfTrue="1">
      <formula>AM$20="CYA"</formula>
    </cfRule>
  </conditionalFormatting>
  <conditionalFormatting sqref="AN126">
    <cfRule type="expression" dxfId="259" priority="2174" stopIfTrue="1">
      <formula>AN$20="CYA"</formula>
    </cfRule>
  </conditionalFormatting>
  <conditionalFormatting sqref="W132">
    <cfRule type="expression" dxfId="258" priority="2173" stopIfTrue="1">
      <formula>W$20="CYA"</formula>
    </cfRule>
  </conditionalFormatting>
  <conditionalFormatting sqref="X132">
    <cfRule type="expression" dxfId="257" priority="2172" stopIfTrue="1">
      <formula>X$20="CYA"</formula>
    </cfRule>
  </conditionalFormatting>
  <conditionalFormatting sqref="Y132">
    <cfRule type="expression" dxfId="256" priority="2171" stopIfTrue="1">
      <formula>Y$20="CYA"</formula>
    </cfRule>
  </conditionalFormatting>
  <conditionalFormatting sqref="Z132">
    <cfRule type="expression" dxfId="255" priority="2170" stopIfTrue="1">
      <formula>Z$20="CYA"</formula>
    </cfRule>
  </conditionalFormatting>
  <conditionalFormatting sqref="AA132">
    <cfRule type="expression" dxfId="254" priority="2169" stopIfTrue="1">
      <formula>AA$20="CYA"</formula>
    </cfRule>
  </conditionalFormatting>
  <conditionalFormatting sqref="AB132">
    <cfRule type="expression" dxfId="253" priority="2168" stopIfTrue="1">
      <formula>AB$20="CYA"</formula>
    </cfRule>
  </conditionalFormatting>
  <conditionalFormatting sqref="AC132">
    <cfRule type="expression" dxfId="252" priority="2167" stopIfTrue="1">
      <formula>AC$20="CYA"</formula>
    </cfRule>
  </conditionalFormatting>
  <conditionalFormatting sqref="AD132">
    <cfRule type="expression" dxfId="251" priority="2166" stopIfTrue="1">
      <formula>AD$20="CYA"</formula>
    </cfRule>
  </conditionalFormatting>
  <conditionalFormatting sqref="AE126">
    <cfRule type="expression" dxfId="250" priority="2183" stopIfTrue="1">
      <formula>AE$20="CYA"</formula>
    </cfRule>
  </conditionalFormatting>
  <conditionalFormatting sqref="AF126">
    <cfRule type="expression" dxfId="249" priority="2182" stopIfTrue="1">
      <formula>AF$20="CYA"</formula>
    </cfRule>
  </conditionalFormatting>
  <conditionalFormatting sqref="AG126">
    <cfRule type="expression" dxfId="248" priority="2181" stopIfTrue="1">
      <formula>AG$20="CYA"</formula>
    </cfRule>
  </conditionalFormatting>
  <conditionalFormatting sqref="AH126">
    <cfRule type="expression" dxfId="247" priority="2180" stopIfTrue="1">
      <formula>AH$20="CYA"</formula>
    </cfRule>
  </conditionalFormatting>
  <conditionalFormatting sqref="AI126">
    <cfRule type="expression" dxfId="246" priority="2179" stopIfTrue="1">
      <formula>AI$20="CYA"</formula>
    </cfRule>
  </conditionalFormatting>
  <conditionalFormatting sqref="AJ126">
    <cfRule type="expression" dxfId="245" priority="2178" stopIfTrue="1">
      <formula>AJ$20="CYA"</formula>
    </cfRule>
  </conditionalFormatting>
  <conditionalFormatting sqref="AE132">
    <cfRule type="expression" dxfId="244" priority="2165" stopIfTrue="1">
      <formula>AE$20="CYA"</formula>
    </cfRule>
  </conditionalFormatting>
  <conditionalFormatting sqref="AF132">
    <cfRule type="expression" dxfId="243" priority="2164" stopIfTrue="1">
      <formula>AF$20="CYA"</formula>
    </cfRule>
  </conditionalFormatting>
  <conditionalFormatting sqref="AG132">
    <cfRule type="expression" dxfId="242" priority="2163" stopIfTrue="1">
      <formula>AG$20="CYA"</formula>
    </cfRule>
  </conditionalFormatting>
  <conditionalFormatting sqref="AH132">
    <cfRule type="expression" dxfId="241" priority="2162" stopIfTrue="1">
      <formula>AH$20="CYA"</formula>
    </cfRule>
  </conditionalFormatting>
  <conditionalFormatting sqref="AI132">
    <cfRule type="expression" dxfId="240" priority="2161" stopIfTrue="1">
      <formula>AI$20="CYA"</formula>
    </cfRule>
  </conditionalFormatting>
  <conditionalFormatting sqref="AJ132">
    <cfRule type="expression" dxfId="239" priority="2160" stopIfTrue="1">
      <formula>AJ$20="CYA"</formula>
    </cfRule>
  </conditionalFormatting>
  <conditionalFormatting sqref="AK132">
    <cfRule type="expression" dxfId="238" priority="2159" stopIfTrue="1">
      <formula>AK$20="CYA"</formula>
    </cfRule>
  </conditionalFormatting>
  <conditionalFormatting sqref="AL132">
    <cfRule type="expression" dxfId="237" priority="2158" stopIfTrue="1">
      <formula>AL$20="CYA"</formula>
    </cfRule>
  </conditionalFormatting>
  <conditionalFormatting sqref="AM132">
    <cfRule type="expression" dxfId="236" priority="2157" stopIfTrue="1">
      <formula>AM$20="CYA"</formula>
    </cfRule>
  </conditionalFormatting>
  <conditionalFormatting sqref="AN132">
    <cfRule type="expression" dxfId="235" priority="2156" stopIfTrue="1">
      <formula>AN$20="CYA"</formula>
    </cfRule>
  </conditionalFormatting>
  <conditionalFormatting sqref="W133">
    <cfRule type="expression" dxfId="234" priority="2155" stopIfTrue="1">
      <formula>W$20="CYA"</formula>
    </cfRule>
  </conditionalFormatting>
  <conditionalFormatting sqref="X133">
    <cfRule type="expression" dxfId="233" priority="2154" stopIfTrue="1">
      <formula>X$20="CYA"</formula>
    </cfRule>
  </conditionalFormatting>
  <conditionalFormatting sqref="Y133">
    <cfRule type="expression" dxfId="232" priority="2153" stopIfTrue="1">
      <formula>Y$20="CYA"</formula>
    </cfRule>
  </conditionalFormatting>
  <conditionalFormatting sqref="Z133">
    <cfRule type="expression" dxfId="231" priority="2152" stopIfTrue="1">
      <formula>Z$20="CYA"</formula>
    </cfRule>
  </conditionalFormatting>
  <conditionalFormatting sqref="AA133">
    <cfRule type="expression" dxfId="230" priority="2151" stopIfTrue="1">
      <formula>AA$20="CYA"</formula>
    </cfRule>
  </conditionalFormatting>
  <conditionalFormatting sqref="AB133">
    <cfRule type="expression" dxfId="229" priority="2150" stopIfTrue="1">
      <formula>AB$20="CYA"</formula>
    </cfRule>
  </conditionalFormatting>
  <conditionalFormatting sqref="W134">
    <cfRule type="expression" dxfId="228" priority="2149" stopIfTrue="1">
      <formula>W$20="CYA"</formula>
    </cfRule>
  </conditionalFormatting>
  <conditionalFormatting sqref="X134">
    <cfRule type="expression" dxfId="227" priority="2148" stopIfTrue="1">
      <formula>X$20="CYA"</formula>
    </cfRule>
  </conditionalFormatting>
  <conditionalFormatting sqref="Y134">
    <cfRule type="expression" dxfId="226" priority="2147" stopIfTrue="1">
      <formula>Y$20="CYA"</formula>
    </cfRule>
  </conditionalFormatting>
  <conditionalFormatting sqref="Z134">
    <cfRule type="expression" dxfId="225" priority="2146" stopIfTrue="1">
      <formula>Z$20="CYA"</formula>
    </cfRule>
  </conditionalFormatting>
  <conditionalFormatting sqref="AA134">
    <cfRule type="expression" dxfId="224" priority="2145" stopIfTrue="1">
      <formula>AA$20="CYA"</formula>
    </cfRule>
  </conditionalFormatting>
  <conditionalFormatting sqref="AB134">
    <cfRule type="expression" dxfId="223" priority="2144" stopIfTrue="1">
      <formula>AB$20="CYA"</formula>
    </cfRule>
  </conditionalFormatting>
  <conditionalFormatting sqref="BK134">
    <cfRule type="expression" dxfId="222" priority="2143" stopIfTrue="1">
      <formula>BK$20="CYA"</formula>
    </cfRule>
  </conditionalFormatting>
  <conditionalFormatting sqref="AD134:AN134">
    <cfRule type="expression" dxfId="221" priority="2139" stopIfTrue="1">
      <formula>AD$20="CYA"</formula>
    </cfRule>
  </conditionalFormatting>
  <conditionalFormatting sqref="AC134">
    <cfRule type="expression" dxfId="220" priority="2141" stopIfTrue="1">
      <formula>AC$20="CYA"</formula>
    </cfRule>
  </conditionalFormatting>
  <conditionalFormatting sqref="AD133:AN133">
    <cfRule type="expression" dxfId="219" priority="2140" stopIfTrue="1">
      <formula>AD$20="CYA"</formula>
    </cfRule>
  </conditionalFormatting>
  <conditionalFormatting sqref="AC133">
    <cfRule type="expression" dxfId="218" priority="2142" stopIfTrue="1">
      <formula>AC$20="CYA"</formula>
    </cfRule>
  </conditionalFormatting>
  <conditionalFormatting sqref="K143:V143">
    <cfRule type="expression" dxfId="217" priority="2137" stopIfTrue="1">
      <formula>K$20="CYA"</formula>
    </cfRule>
  </conditionalFormatting>
  <conditionalFormatting sqref="Q137">
    <cfRule type="expression" dxfId="216" priority="2136" stopIfTrue="1">
      <formula>Q$20="CYA"</formula>
    </cfRule>
  </conditionalFormatting>
  <conditionalFormatting sqref="R137">
    <cfRule type="expression" dxfId="215" priority="2135" stopIfTrue="1">
      <formula>R$20="CYA"</formula>
    </cfRule>
  </conditionalFormatting>
  <conditionalFormatting sqref="S137">
    <cfRule type="expression" dxfId="214" priority="2134" stopIfTrue="1">
      <formula>S$20="CYA"</formula>
    </cfRule>
  </conditionalFormatting>
  <conditionalFormatting sqref="T137">
    <cfRule type="expression" dxfId="213" priority="2133" stopIfTrue="1">
      <formula>T$20="CYA"</formula>
    </cfRule>
  </conditionalFormatting>
  <conditionalFormatting sqref="U137">
    <cfRule type="expression" dxfId="212" priority="2132" stopIfTrue="1">
      <formula>U$20="CYA"</formula>
    </cfRule>
  </conditionalFormatting>
  <conditionalFormatting sqref="V137">
    <cfRule type="expression" dxfId="211" priority="2131" stopIfTrue="1">
      <formula>V$20="CYA"</formula>
    </cfRule>
  </conditionalFormatting>
  <conditionalFormatting sqref="W137">
    <cfRule type="expression" dxfId="210" priority="2130" stopIfTrue="1">
      <formula>W$20="CYA"</formula>
    </cfRule>
  </conditionalFormatting>
  <conditionalFormatting sqref="X137">
    <cfRule type="expression" dxfId="209" priority="2129" stopIfTrue="1">
      <formula>X$20="CYA"</formula>
    </cfRule>
  </conditionalFormatting>
  <conditionalFormatting sqref="Y137">
    <cfRule type="expression" dxfId="208" priority="2128" stopIfTrue="1">
      <formula>Y$20="CYA"</formula>
    </cfRule>
  </conditionalFormatting>
  <conditionalFormatting sqref="Z137">
    <cfRule type="expression" dxfId="207" priority="2127" stopIfTrue="1">
      <formula>Z$20="CYA"</formula>
    </cfRule>
  </conditionalFormatting>
  <conditionalFormatting sqref="AA137">
    <cfRule type="expression" dxfId="206" priority="2126" stopIfTrue="1">
      <formula>AA$20="CYA"</formula>
    </cfRule>
  </conditionalFormatting>
  <conditionalFormatting sqref="AB137">
    <cfRule type="expression" dxfId="205" priority="2125" stopIfTrue="1">
      <formula>AB$20="CYA"</formula>
    </cfRule>
  </conditionalFormatting>
  <conditionalFormatting sqref="AC137">
    <cfRule type="expression" dxfId="204" priority="2124" stopIfTrue="1">
      <formula>AC$20="CYA"</formula>
    </cfRule>
  </conditionalFormatting>
  <conditionalFormatting sqref="AD137">
    <cfRule type="expression" dxfId="203" priority="2123" stopIfTrue="1">
      <formula>AD$20="CYA"</formula>
    </cfRule>
  </conditionalFormatting>
  <conditionalFormatting sqref="AK137">
    <cfRule type="expression" dxfId="202" priority="2116" stopIfTrue="1">
      <formula>AK$20="CYA"</formula>
    </cfRule>
  </conditionalFormatting>
  <conditionalFormatting sqref="AL137">
    <cfRule type="expression" dxfId="201" priority="2115" stopIfTrue="1">
      <formula>AL$20="CYA"</formula>
    </cfRule>
  </conditionalFormatting>
  <conditionalFormatting sqref="AM137">
    <cfRule type="expression" dxfId="200" priority="2114" stopIfTrue="1">
      <formula>AM$20="CYA"</formula>
    </cfRule>
  </conditionalFormatting>
  <conditionalFormatting sqref="AN137">
    <cfRule type="expression" dxfId="199" priority="2113" stopIfTrue="1">
      <formula>AN$20="CYA"</formula>
    </cfRule>
  </conditionalFormatting>
  <conditionalFormatting sqref="W143">
    <cfRule type="expression" dxfId="198" priority="2112" stopIfTrue="1">
      <formula>W$20="CYA"</formula>
    </cfRule>
  </conditionalFormatting>
  <conditionalFormatting sqref="X143">
    <cfRule type="expression" dxfId="197" priority="2111" stopIfTrue="1">
      <formula>X$20="CYA"</formula>
    </cfRule>
  </conditionalFormatting>
  <conditionalFormatting sqref="Y143">
    <cfRule type="expression" dxfId="196" priority="2110" stopIfTrue="1">
      <formula>Y$20="CYA"</formula>
    </cfRule>
  </conditionalFormatting>
  <conditionalFormatting sqref="Z143">
    <cfRule type="expression" dxfId="195" priority="2109" stopIfTrue="1">
      <formula>Z$20="CYA"</formula>
    </cfRule>
  </conditionalFormatting>
  <conditionalFormatting sqref="AA143">
    <cfRule type="expression" dxfId="194" priority="2108" stopIfTrue="1">
      <formula>AA$20="CYA"</formula>
    </cfRule>
  </conditionalFormatting>
  <conditionalFormatting sqref="AB143">
    <cfRule type="expression" dxfId="193" priority="2107" stopIfTrue="1">
      <formula>AB$20="CYA"</formula>
    </cfRule>
  </conditionalFormatting>
  <conditionalFormatting sqref="AC143">
    <cfRule type="expression" dxfId="192" priority="2106" stopIfTrue="1">
      <formula>AC$20="CYA"</formula>
    </cfRule>
  </conditionalFormatting>
  <conditionalFormatting sqref="AD143">
    <cfRule type="expression" dxfId="191" priority="2105" stopIfTrue="1">
      <formula>AD$20="CYA"</formula>
    </cfRule>
  </conditionalFormatting>
  <conditionalFormatting sqref="AE137">
    <cfRule type="expression" dxfId="190" priority="2122" stopIfTrue="1">
      <formula>AE$20="CYA"</formula>
    </cfRule>
  </conditionalFormatting>
  <conditionalFormatting sqref="AF137">
    <cfRule type="expression" dxfId="189" priority="2121" stopIfTrue="1">
      <formula>AF$20="CYA"</formula>
    </cfRule>
  </conditionalFormatting>
  <conditionalFormatting sqref="AG137">
    <cfRule type="expression" dxfId="188" priority="2120" stopIfTrue="1">
      <formula>AG$20="CYA"</formula>
    </cfRule>
  </conditionalFormatting>
  <conditionalFormatting sqref="AH137">
    <cfRule type="expression" dxfId="187" priority="2119" stopIfTrue="1">
      <formula>AH$20="CYA"</formula>
    </cfRule>
  </conditionalFormatting>
  <conditionalFormatting sqref="AI137">
    <cfRule type="expression" dxfId="186" priority="2118" stopIfTrue="1">
      <formula>AI$20="CYA"</formula>
    </cfRule>
  </conditionalFormatting>
  <conditionalFormatting sqref="AJ137">
    <cfRule type="expression" dxfId="185" priority="2117" stopIfTrue="1">
      <formula>AJ$20="CYA"</formula>
    </cfRule>
  </conditionalFormatting>
  <conditionalFormatting sqref="AE143">
    <cfRule type="expression" dxfId="184" priority="2104" stopIfTrue="1">
      <formula>AE$20="CYA"</formula>
    </cfRule>
  </conditionalFormatting>
  <conditionalFormatting sqref="AF143">
    <cfRule type="expression" dxfId="183" priority="2103" stopIfTrue="1">
      <formula>AF$20="CYA"</formula>
    </cfRule>
  </conditionalFormatting>
  <conditionalFormatting sqref="AG143">
    <cfRule type="expression" dxfId="182" priority="2102" stopIfTrue="1">
      <formula>AG$20="CYA"</formula>
    </cfRule>
  </conditionalFormatting>
  <conditionalFormatting sqref="AH143">
    <cfRule type="expression" dxfId="181" priority="2101" stopIfTrue="1">
      <formula>AH$20="CYA"</formula>
    </cfRule>
  </conditionalFormatting>
  <conditionalFormatting sqref="AI143">
    <cfRule type="expression" dxfId="180" priority="2100" stopIfTrue="1">
      <formula>AI$20="CYA"</formula>
    </cfRule>
  </conditionalFormatting>
  <conditionalFormatting sqref="AJ143">
    <cfRule type="expression" dxfId="179" priority="2099" stopIfTrue="1">
      <formula>AJ$20="CYA"</formula>
    </cfRule>
  </conditionalFormatting>
  <conditionalFormatting sqref="AK143">
    <cfRule type="expression" dxfId="178" priority="2098" stopIfTrue="1">
      <formula>AK$20="CYA"</formula>
    </cfRule>
  </conditionalFormatting>
  <conditionalFormatting sqref="AL143">
    <cfRule type="expression" dxfId="177" priority="2097" stopIfTrue="1">
      <formula>AL$20="CYA"</formula>
    </cfRule>
  </conditionalFormatting>
  <conditionalFormatting sqref="AM143">
    <cfRule type="expression" dxfId="176" priority="2096" stopIfTrue="1">
      <formula>AM$20="CYA"</formula>
    </cfRule>
  </conditionalFormatting>
  <conditionalFormatting sqref="AN143">
    <cfRule type="expression" dxfId="175" priority="2095" stopIfTrue="1">
      <formula>AN$20="CYA"</formula>
    </cfRule>
  </conditionalFormatting>
  <conditionalFormatting sqref="W144">
    <cfRule type="expression" dxfId="174" priority="2094" stopIfTrue="1">
      <formula>W$20="CYA"</formula>
    </cfRule>
  </conditionalFormatting>
  <conditionalFormatting sqref="X144">
    <cfRule type="expression" dxfId="173" priority="2093" stopIfTrue="1">
      <formula>X$20="CYA"</formula>
    </cfRule>
  </conditionalFormatting>
  <conditionalFormatting sqref="Y144">
    <cfRule type="expression" dxfId="172" priority="2092" stopIfTrue="1">
      <formula>Y$20="CYA"</formula>
    </cfRule>
  </conditionalFormatting>
  <conditionalFormatting sqref="Z144">
    <cfRule type="expression" dxfId="171" priority="2091" stopIfTrue="1">
      <formula>Z$20="CYA"</formula>
    </cfRule>
  </conditionalFormatting>
  <conditionalFormatting sqref="AA144">
    <cfRule type="expression" dxfId="170" priority="2090" stopIfTrue="1">
      <formula>AA$20="CYA"</formula>
    </cfRule>
  </conditionalFormatting>
  <conditionalFormatting sqref="AB144">
    <cfRule type="expression" dxfId="169" priority="2089" stopIfTrue="1">
      <formula>AB$20="CYA"</formula>
    </cfRule>
  </conditionalFormatting>
  <conditionalFormatting sqref="W145">
    <cfRule type="expression" dxfId="168" priority="2088" stopIfTrue="1">
      <formula>W$20="CYA"</formula>
    </cfRule>
  </conditionalFormatting>
  <conditionalFormatting sqref="X145">
    <cfRule type="expression" dxfId="167" priority="2087" stopIfTrue="1">
      <formula>X$20="CYA"</formula>
    </cfRule>
  </conditionalFormatting>
  <conditionalFormatting sqref="Y145">
    <cfRule type="expression" dxfId="166" priority="2086" stopIfTrue="1">
      <formula>Y$20="CYA"</formula>
    </cfRule>
  </conditionalFormatting>
  <conditionalFormatting sqref="Z145">
    <cfRule type="expression" dxfId="165" priority="2085" stopIfTrue="1">
      <formula>Z$20="CYA"</formula>
    </cfRule>
  </conditionalFormatting>
  <conditionalFormatting sqref="AA145">
    <cfRule type="expression" dxfId="164" priority="2084" stopIfTrue="1">
      <formula>AA$20="CYA"</formula>
    </cfRule>
  </conditionalFormatting>
  <conditionalFormatting sqref="AB145">
    <cfRule type="expression" dxfId="163" priority="2083" stopIfTrue="1">
      <formula>AB$20="CYA"</formula>
    </cfRule>
  </conditionalFormatting>
  <conditionalFormatting sqref="BK145">
    <cfRule type="expression" dxfId="162" priority="2082" stopIfTrue="1">
      <formula>BK$20="CYA"</formula>
    </cfRule>
  </conditionalFormatting>
  <conditionalFormatting sqref="AD145:AN145">
    <cfRule type="expression" dxfId="161" priority="2078" stopIfTrue="1">
      <formula>AD$20="CYA"</formula>
    </cfRule>
  </conditionalFormatting>
  <conditionalFormatting sqref="AC145">
    <cfRule type="expression" dxfId="160" priority="2080" stopIfTrue="1">
      <formula>AC$20="CYA"</formula>
    </cfRule>
  </conditionalFormatting>
  <conditionalFormatting sqref="AD144:AN144">
    <cfRule type="expression" dxfId="159" priority="2079" stopIfTrue="1">
      <formula>AD$20="CYA"</formula>
    </cfRule>
  </conditionalFormatting>
  <conditionalFormatting sqref="AC144">
    <cfRule type="expression" dxfId="158" priority="2081" stopIfTrue="1">
      <formula>AC$20="CYA"</formula>
    </cfRule>
  </conditionalFormatting>
  <conditionalFormatting sqref="K127">
    <cfRule type="expression" dxfId="157" priority="2038" stopIfTrue="1">
      <formula>K$20="CYA"</formula>
    </cfRule>
  </conditionalFormatting>
  <conditionalFormatting sqref="BK129">
    <cfRule type="expression" dxfId="156" priority="2037" stopIfTrue="1">
      <formula>BK$20="CYA"</formula>
    </cfRule>
  </conditionalFormatting>
  <conditionalFormatting sqref="W127">
    <cfRule type="expression" dxfId="155" priority="2036" stopIfTrue="1">
      <formula>W$20="CYA"</formula>
    </cfRule>
  </conditionalFormatting>
  <conditionalFormatting sqref="Y127">
    <cfRule type="expression" dxfId="154" priority="2035" stopIfTrue="1">
      <formula>Y$20="CYA"</formula>
    </cfRule>
  </conditionalFormatting>
  <conditionalFormatting sqref="AD129:AN129">
    <cfRule type="expression" dxfId="153" priority="2031" stopIfTrue="1">
      <formula>AD$20="CYA"</formula>
    </cfRule>
  </conditionalFormatting>
  <conditionalFormatting sqref="AC129">
    <cfRule type="expression" dxfId="152" priority="2033" stopIfTrue="1">
      <formula>AC$20="CYA"</formula>
    </cfRule>
  </conditionalFormatting>
  <conditionalFormatting sqref="AD128:AN128">
    <cfRule type="expression" dxfId="151" priority="2032" stopIfTrue="1">
      <formula>AD$20="CYA"</formula>
    </cfRule>
  </conditionalFormatting>
  <conditionalFormatting sqref="AC128">
    <cfRule type="expression" dxfId="150" priority="2034" stopIfTrue="1">
      <formula>AC$20="CYA"</formula>
    </cfRule>
  </conditionalFormatting>
  <conditionalFormatting sqref="K138">
    <cfRule type="expression" dxfId="149" priority="2029" stopIfTrue="1">
      <formula>K$20="CYA"</formula>
    </cfRule>
  </conditionalFormatting>
  <conditionalFormatting sqref="BK140">
    <cfRule type="expression" dxfId="148" priority="2028" stopIfTrue="1">
      <formula>BK$20="CYA"</formula>
    </cfRule>
  </conditionalFormatting>
  <conditionalFormatting sqref="W138">
    <cfRule type="expression" dxfId="147" priority="2027" stopIfTrue="1">
      <formula>W$20="CYA"</formula>
    </cfRule>
  </conditionalFormatting>
  <conditionalFormatting sqref="AD140:AN140">
    <cfRule type="expression" dxfId="146" priority="2022" stopIfTrue="1">
      <formula>AD$20="CYA"</formula>
    </cfRule>
  </conditionalFormatting>
  <conditionalFormatting sqref="AC140">
    <cfRule type="expression" dxfId="145" priority="2024" stopIfTrue="1">
      <formula>AC$20="CYA"</formula>
    </cfRule>
  </conditionalFormatting>
  <conditionalFormatting sqref="AD139:AN139">
    <cfRule type="expression" dxfId="144" priority="2023" stopIfTrue="1">
      <formula>AD$20="CYA"</formula>
    </cfRule>
  </conditionalFormatting>
  <conditionalFormatting sqref="AC139">
    <cfRule type="expression" dxfId="143" priority="2025" stopIfTrue="1">
      <formula>AC$20="CYA"</formula>
    </cfRule>
  </conditionalFormatting>
  <conditionalFormatting sqref="L127:V127">
    <cfRule type="expression" dxfId="142" priority="2020" stopIfTrue="1">
      <formula>L$20="CYA"</formula>
    </cfRule>
  </conditionalFormatting>
  <conditionalFormatting sqref="L138:V138">
    <cfRule type="expression" dxfId="141" priority="2019" stopIfTrue="1">
      <formula>L$20="CYA"</formula>
    </cfRule>
  </conditionalFormatting>
  <conditionalFormatting sqref="Y138">
    <cfRule type="expression" dxfId="140" priority="2018" stopIfTrue="1">
      <formula>Y$20="CYA"</formula>
    </cfRule>
  </conditionalFormatting>
  <conditionalFormatting sqref="Y112">
    <cfRule type="expression" dxfId="139" priority="2017" stopIfTrue="1">
      <formula>Y$20="CYA"</formula>
    </cfRule>
  </conditionalFormatting>
  <conditionalFormatting sqref="Z112">
    <cfRule type="expression" dxfId="138" priority="2016" stopIfTrue="1">
      <formula>Z$20="CYA"</formula>
    </cfRule>
  </conditionalFormatting>
  <conditionalFormatting sqref="AA112">
    <cfRule type="expression" dxfId="137" priority="2015" stopIfTrue="1">
      <formula>AA$20="CYA"</formula>
    </cfRule>
  </conditionalFormatting>
  <conditionalFormatting sqref="W75">
    <cfRule type="expression" dxfId="136" priority="1357" stopIfTrue="1">
      <formula>W$20="CYA"</formula>
    </cfRule>
  </conditionalFormatting>
  <conditionalFormatting sqref="W83">
    <cfRule type="expression" dxfId="135" priority="1354" stopIfTrue="1">
      <formula>W$20="CYA"</formula>
    </cfRule>
  </conditionalFormatting>
  <conditionalFormatting sqref="W91">
    <cfRule type="expression" dxfId="134" priority="1351" stopIfTrue="1">
      <formula>W$20="CYA"</formula>
    </cfRule>
  </conditionalFormatting>
  <conditionalFormatting sqref="BJ67">
    <cfRule type="expression" dxfId="133" priority="951" stopIfTrue="1">
      <formula>BJ$20="CYA"</formula>
    </cfRule>
  </conditionalFormatting>
  <conditionalFormatting sqref="BJ75">
    <cfRule type="expression" dxfId="132" priority="950" stopIfTrue="1">
      <formula>BJ$20="CYA"</formula>
    </cfRule>
  </conditionalFormatting>
  <conditionalFormatting sqref="BJ83">
    <cfRule type="expression" dxfId="131" priority="949" stopIfTrue="1">
      <formula>BJ$20="CYA"</formula>
    </cfRule>
  </conditionalFormatting>
  <conditionalFormatting sqref="BJ91">
    <cfRule type="expression" dxfId="130" priority="948" stopIfTrue="1">
      <formula>BJ$20="CYA"</formula>
    </cfRule>
  </conditionalFormatting>
  <conditionalFormatting sqref="AK48">
    <cfRule type="expression" dxfId="129" priority="259" stopIfTrue="1">
      <formula>AK$20="CYA"</formula>
    </cfRule>
  </conditionalFormatting>
  <conditionalFormatting sqref="K43:R43">
    <cfRule type="expression" dxfId="42" priority="43" stopIfTrue="1">
      <formula>K$20="CYA"</formula>
    </cfRule>
  </conditionalFormatting>
  <conditionalFormatting sqref="K49:R49">
    <cfRule type="expression" dxfId="41" priority="42" stopIfTrue="1">
      <formula>K$20="CYA"</formula>
    </cfRule>
  </conditionalFormatting>
  <conditionalFormatting sqref="K55:R55">
    <cfRule type="expression" dxfId="40" priority="41" stopIfTrue="1">
      <formula>K$20="CYA"</formula>
    </cfRule>
  </conditionalFormatting>
  <conditionalFormatting sqref="K66:R66">
    <cfRule type="expression" dxfId="39" priority="40" stopIfTrue="1">
      <formula>K$20="CYA"</formula>
    </cfRule>
  </conditionalFormatting>
  <conditionalFormatting sqref="K67:R67">
    <cfRule type="expression" dxfId="38" priority="39" stopIfTrue="1">
      <formula>K$20="CYA"</formula>
    </cfRule>
  </conditionalFormatting>
  <conditionalFormatting sqref="S67:V67">
    <cfRule type="expression" dxfId="37" priority="38" stopIfTrue="1">
      <formula>S$20="CYA"</formula>
    </cfRule>
  </conditionalFormatting>
  <conditionalFormatting sqref="K74:R74">
    <cfRule type="expression" dxfId="36" priority="37" stopIfTrue="1">
      <formula>K$20="CYA"</formula>
    </cfRule>
  </conditionalFormatting>
  <conditionalFormatting sqref="K75:R75">
    <cfRule type="expression" dxfId="35" priority="36" stopIfTrue="1">
      <formula>K$20="CYA"</formula>
    </cfRule>
  </conditionalFormatting>
  <conditionalFormatting sqref="S75:V75">
    <cfRule type="expression" dxfId="34" priority="35" stopIfTrue="1">
      <formula>S$20="CYA"</formula>
    </cfRule>
  </conditionalFormatting>
  <conditionalFormatting sqref="K82:R82">
    <cfRule type="expression" dxfId="33" priority="34" stopIfTrue="1">
      <formula>K$20="CYA"</formula>
    </cfRule>
  </conditionalFormatting>
  <conditionalFormatting sqref="K83:R83">
    <cfRule type="expression" dxfId="32" priority="33" stopIfTrue="1">
      <formula>K$20="CYA"</formula>
    </cfRule>
  </conditionalFormatting>
  <conditionalFormatting sqref="S83:V83">
    <cfRule type="expression" dxfId="31" priority="32" stopIfTrue="1">
      <formula>S$20="CYA"</formula>
    </cfRule>
  </conditionalFormatting>
  <conditionalFormatting sqref="K90:R90">
    <cfRule type="expression" dxfId="30" priority="31" stopIfTrue="1">
      <formula>K$20="CYA"</formula>
    </cfRule>
  </conditionalFormatting>
  <conditionalFormatting sqref="K91:R91">
    <cfRule type="expression" dxfId="29" priority="30" stopIfTrue="1">
      <formula>K$20="CYA"</formula>
    </cfRule>
  </conditionalFormatting>
  <conditionalFormatting sqref="S91:V91">
    <cfRule type="expression" dxfId="28" priority="29" stopIfTrue="1">
      <formula>S$20="CYA"</formula>
    </cfRule>
  </conditionalFormatting>
  <conditionalFormatting sqref="K103:R103">
    <cfRule type="expression" dxfId="27" priority="28" stopIfTrue="1">
      <formula>K$20="CYA"</formula>
    </cfRule>
  </conditionalFormatting>
  <conditionalFormatting sqref="K115:R115">
    <cfRule type="expression" dxfId="26" priority="27" stopIfTrue="1">
      <formula>K$20="CYA"</formula>
    </cfRule>
  </conditionalFormatting>
  <conditionalFormatting sqref="K123:R123">
    <cfRule type="expression" dxfId="25" priority="26" stopIfTrue="1">
      <formula>K$20="CYA"</formula>
    </cfRule>
  </conditionalFormatting>
  <conditionalFormatting sqref="K129:R129">
    <cfRule type="expression" dxfId="24" priority="25" stopIfTrue="1">
      <formula>K$20="CYA"</formula>
    </cfRule>
  </conditionalFormatting>
  <conditionalFormatting sqref="K134:R134">
    <cfRule type="expression" dxfId="23" priority="24" stopIfTrue="1">
      <formula>K$20="CYA"</formula>
    </cfRule>
  </conditionalFormatting>
  <conditionalFormatting sqref="K140:R140">
    <cfRule type="expression" dxfId="22" priority="23" stopIfTrue="1">
      <formula>K$20="CYA"</formula>
    </cfRule>
  </conditionalFormatting>
  <conditionalFormatting sqref="K145:R145">
    <cfRule type="expression" dxfId="21" priority="22" stopIfTrue="1">
      <formula>K$20="CYA"</formula>
    </cfRule>
  </conditionalFormatting>
  <conditionalFormatting sqref="K151:R151">
    <cfRule type="expression" dxfId="20" priority="21" stopIfTrue="1">
      <formula>K$20="CYA"</formula>
    </cfRule>
  </conditionalFormatting>
  <conditionalFormatting sqref="K158:R158">
    <cfRule type="expression" dxfId="19" priority="20" stopIfTrue="1">
      <formula>K$20="CYA"</formula>
    </cfRule>
  </conditionalFormatting>
  <conditionalFormatting sqref="K164:R164">
    <cfRule type="expression" dxfId="18" priority="19" stopIfTrue="1">
      <formula>K$20="CYA"</formula>
    </cfRule>
  </conditionalFormatting>
  <conditionalFormatting sqref="K169:R169">
    <cfRule type="expression" dxfId="17" priority="18" stopIfTrue="1">
      <formula>K$20="CYA"</formula>
    </cfRule>
  </conditionalFormatting>
  <conditionalFormatting sqref="K174:R174">
    <cfRule type="expression" dxfId="16" priority="17" stopIfTrue="1">
      <formula>K$20="CYA"</formula>
    </cfRule>
  </conditionalFormatting>
  <conditionalFormatting sqref="K180:R180">
    <cfRule type="expression" dxfId="15" priority="16" stopIfTrue="1">
      <formula>K$20="CYA"</formula>
    </cfRule>
  </conditionalFormatting>
  <conditionalFormatting sqref="K186:R186">
    <cfRule type="expression" dxfId="14" priority="15" stopIfTrue="1">
      <formula>K$20="CYA"</formula>
    </cfRule>
  </conditionalFormatting>
  <conditionalFormatting sqref="K192:R192">
    <cfRule type="expression" dxfId="13" priority="14" stopIfTrue="1">
      <formula>K$20="CYA"</formula>
    </cfRule>
  </conditionalFormatting>
  <conditionalFormatting sqref="K197:R197">
    <cfRule type="expression" dxfId="12" priority="13" stopIfTrue="1">
      <formula>K$20="CYA"</formula>
    </cfRule>
  </conditionalFormatting>
  <conditionalFormatting sqref="K202:R202">
    <cfRule type="expression" dxfId="11" priority="12" stopIfTrue="1">
      <formula>K$20="CYA"</formula>
    </cfRule>
  </conditionalFormatting>
  <conditionalFormatting sqref="K207:R207">
    <cfRule type="expression" dxfId="10" priority="11" stopIfTrue="1">
      <formula>K$20="CYA"</formula>
    </cfRule>
  </conditionalFormatting>
  <conditionalFormatting sqref="K212:R212">
    <cfRule type="expression" dxfId="9" priority="10" stopIfTrue="1">
      <formula>K$20="CYA"</formula>
    </cfRule>
  </conditionalFormatting>
  <conditionalFormatting sqref="K217:R217">
    <cfRule type="expression" dxfId="8" priority="9" stopIfTrue="1">
      <formula>K$20="CYA"</formula>
    </cfRule>
  </conditionalFormatting>
  <conditionalFormatting sqref="K222:R222">
    <cfRule type="expression" dxfId="7" priority="8" stopIfTrue="1">
      <formula>K$20="CYA"</formula>
    </cfRule>
  </conditionalFormatting>
  <conditionalFormatting sqref="K227:R227">
    <cfRule type="expression" dxfId="6" priority="7" stopIfTrue="1">
      <formula>K$20="CYA"</formula>
    </cfRule>
  </conditionalFormatting>
  <conditionalFormatting sqref="K240:R240">
    <cfRule type="expression" dxfId="5" priority="6" stopIfTrue="1">
      <formula>K$20="CYA"</formula>
    </cfRule>
  </conditionalFormatting>
  <conditionalFormatting sqref="K245:R245">
    <cfRule type="expression" dxfId="4" priority="5" stopIfTrue="1">
      <formula>K$20="CYA"</formula>
    </cfRule>
  </conditionalFormatting>
  <conditionalFormatting sqref="K250:R250">
    <cfRule type="expression" dxfId="3" priority="4" stopIfTrue="1">
      <formula>K$20="CYA"</formula>
    </cfRule>
  </conditionalFormatting>
  <conditionalFormatting sqref="K255:R255">
    <cfRule type="expression" dxfId="2" priority="3" stopIfTrue="1">
      <formula>K$20="CYA"</formula>
    </cfRule>
  </conditionalFormatting>
  <conditionalFormatting sqref="K260:R260">
    <cfRule type="expression" dxfId="1" priority="2" stopIfTrue="1">
      <formula>K$20="CYA"</formula>
    </cfRule>
  </conditionalFormatting>
  <conditionalFormatting sqref="K267:R267">
    <cfRule type="expression" dxfId="0" priority="1" stopIfTrue="1">
      <formula>K$20="CYA"</formula>
    </cfRule>
  </conditionalFormatting>
  <printOptions horizontalCentered="1"/>
  <pageMargins left="0.25" right="0.25" top="0.75" bottom="0.75" header="0.3" footer="0.3"/>
  <pageSetup scale="45" fitToHeight="0" orientation="landscape" horizontalDpi="4294967292" r:id="rId1"/>
  <headerFooter alignWithMargins="0">
    <oddFooter>&amp;L&amp;D &amp;T&amp;CPage 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Control_Sheet</vt:lpstr>
      <vt:lpstr>Variables</vt:lpstr>
      <vt:lpstr>Instructions</vt:lpstr>
      <vt:lpstr>Control</vt:lpstr>
      <vt:lpstr>Summary</vt:lpstr>
      <vt:lpstr>MonthlyFcstAdj</vt:lpstr>
      <vt:lpstr>Control!Print_Area</vt:lpstr>
      <vt:lpstr>MonthlyFcstAdj!Print_Area</vt:lpstr>
      <vt:lpstr>Summary!Print_Area</vt:lpstr>
      <vt:lpstr>MonthlyFcstAdj!Print_Titles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Axiom EPM</dc:creator>
  <cp:lastModifiedBy>Miller, Debra</cp:lastModifiedBy>
  <cp:lastPrinted>2020-06-17T21:36:47Z</cp:lastPrinted>
  <dcterms:created xsi:type="dcterms:W3CDTF">2010-04-23T19:49:55Z</dcterms:created>
  <dcterms:modified xsi:type="dcterms:W3CDTF">2020-06-23T04:11:45Z</dcterms:modified>
</cp:coreProperties>
</file>